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" yWindow="0" windowWidth="50440" windowHeight="16740" tabRatio="742" activeTab="0"/>
  </bookViews>
  <sheets>
    <sheet name="Version Control" sheetId="1" r:id="rId1"/>
    <sheet name="Friday, 5 Feb 2016" sheetId="2" r:id="rId2"/>
    <sheet name="Saturday, 6 Feb 2016" sheetId="3" r:id="rId3"/>
    <sheet name="Sunday, 7 Feb 2016" sheetId="4" r:id="rId4"/>
    <sheet name="category distances 2016" sheetId="5" r:id="rId5"/>
    <sheet name="variables" sheetId="6" r:id="rId6"/>
    <sheet name="Registrants 2015" sheetId="7" r:id="rId7"/>
    <sheet name="Sunday, 7 Feb 2016_orig" sheetId="8" r:id="rId8"/>
  </sheets>
  <definedNames>
    <definedName name="hr" localSheetId="1">'Friday, 5 Feb 2016'!$O$4</definedName>
    <definedName name="hr">'variables'!$B$4</definedName>
    <definedName name="min" localSheetId="1">'Friday, 5 Feb 2016'!$N$4</definedName>
    <definedName name="min">'variables'!$B$3</definedName>
    <definedName name="_xlnm.Print_Area" localSheetId="1">'Friday, 5 Feb 2016'!$A$1:$K$33</definedName>
    <definedName name="_xlnm.Print_Area" localSheetId="2">'Saturday, 6 Feb 2016'!$A$1:$K$28</definedName>
    <definedName name="_xlnm.Print_Area" localSheetId="3">'Sunday, 7 Feb 2016'!$A$1:$I$31</definedName>
    <definedName name="_xlnm.Print_Area" localSheetId="7">'Sunday, 7 Feb 2016_orig'!$A$1:$I$31</definedName>
    <definedName name="start" localSheetId="1">'Friday, 5 Feb 2016'!$B$5</definedName>
    <definedName name="start">'variables'!$B$2</definedName>
  </definedNames>
  <calcPr fullCalcOnLoad="1"/>
</workbook>
</file>

<file path=xl/sharedStrings.xml><?xml version="1.0" encoding="utf-8"?>
<sst xmlns="http://schemas.openxmlformats.org/spreadsheetml/2006/main" count="464" uniqueCount="220">
  <si>
    <t>Start Order</t>
  </si>
  <si>
    <t>Category</t>
  </si>
  <si>
    <t>(min)</t>
  </si>
  <si>
    <t>10 (2 x 5)</t>
  </si>
  <si>
    <t>5 (2 x 2.5)</t>
  </si>
  <si>
    <t>(Km)</t>
  </si>
  <si>
    <t xml:space="preserve">Distance </t>
  </si>
  <si>
    <t xml:space="preserve"> </t>
  </si>
  <si>
    <t>15 (3 x 5)</t>
  </si>
  <si>
    <t>7.5 (2 x 3.75)</t>
  </si>
  <si>
    <t>Junior Girl</t>
  </si>
  <si>
    <t>Junior Boy</t>
  </si>
  <si>
    <t>Midget Boy</t>
  </si>
  <si>
    <t>Midget Girl</t>
  </si>
  <si>
    <t>Juvenile Boy</t>
  </si>
  <si>
    <t>Juvenile Girl</t>
  </si>
  <si>
    <t>20 (2 x 10)</t>
  </si>
  <si>
    <t>Interval Start Free Short Distance Race</t>
  </si>
  <si>
    <t>5 (1 x 5)</t>
  </si>
  <si>
    <t>(h:mm:ss)</t>
  </si>
  <si>
    <t>Start Interval</t>
  </si>
  <si>
    <t>Estimated Time on Course</t>
  </si>
  <si>
    <t>1.25</t>
  </si>
  <si>
    <t>0.80</t>
  </si>
  <si>
    <t>20 (4 x 5)</t>
  </si>
  <si>
    <t xml:space="preserve">Open F </t>
  </si>
  <si>
    <t>23 (2 x 11:30)</t>
  </si>
  <si>
    <t>18 (2 x 9:00)</t>
  </si>
  <si>
    <t>Min</t>
  </si>
  <si>
    <t>hr</t>
  </si>
  <si>
    <t>Planned Start:</t>
  </si>
  <si>
    <t>Estimated Number of Skiers</t>
  </si>
  <si>
    <t>Estimated number of skiers</t>
  </si>
  <si>
    <t>Est Max Time on Course</t>
  </si>
  <si>
    <t>Sprint Qualifier and Prologue (Free)</t>
  </si>
  <si>
    <t>10 (4 x 2.5)</t>
  </si>
  <si>
    <t>7.5 (3 x 2.5)</t>
  </si>
  <si>
    <t>Estimated Awards Time</t>
  </si>
  <si>
    <t>(h:mm)</t>
  </si>
  <si>
    <t>Estimated Start Time</t>
  </si>
  <si>
    <t xml:space="preserve"> (clock)</t>
  </si>
  <si>
    <t>(km)</t>
  </si>
  <si>
    <t xml:space="preserve"> (h:mm)</t>
  </si>
  <si>
    <t>Last Start in the Interval</t>
  </si>
  <si>
    <t>Gap after last skier</t>
  </si>
  <si>
    <t>Estimated Finish Time of last skier</t>
  </si>
  <si>
    <t>Comments</t>
  </si>
  <si>
    <t>Comment</t>
  </si>
  <si>
    <t>course change to 1.4km when done</t>
  </si>
  <si>
    <t>course change to 1.5km when done</t>
  </si>
  <si>
    <t>2</t>
  </si>
  <si>
    <t>6</t>
  </si>
  <si>
    <t>Mass Start Classic Long Distance Race</t>
  </si>
  <si>
    <t>Actual</t>
  </si>
  <si>
    <t>Estimated</t>
  </si>
  <si>
    <t>20 kids 2002 to 1999 visiting from BC</t>
  </si>
  <si>
    <t>watch for collisions @ charron</t>
  </si>
  <si>
    <t>Sit track should be open now</t>
  </si>
  <si>
    <t>Total skiers and gap time</t>
  </si>
  <si>
    <t>Friday</t>
  </si>
  <si>
    <t>Saturday</t>
  </si>
  <si>
    <t>Sunday</t>
  </si>
  <si>
    <t>Open M</t>
  </si>
  <si>
    <t>Jun&amp;Juv Boy</t>
  </si>
  <si>
    <t>Jun&amp;Juv Girl</t>
  </si>
  <si>
    <t>Open F</t>
  </si>
  <si>
    <t>81,70</t>
  </si>
  <si>
    <t>74,53</t>
  </si>
  <si>
    <t>55,44</t>
  </si>
  <si>
    <t>72,76</t>
  </si>
  <si>
    <t>Seeded fastest to slowest</t>
  </si>
  <si>
    <t>Seeded slowest to fastest all day</t>
  </si>
  <si>
    <t>PN Sit Ski M</t>
  </si>
  <si>
    <t>PN Sit Ski F</t>
  </si>
  <si>
    <t>PN Stand M</t>
  </si>
  <si>
    <t>PN Stand F</t>
  </si>
  <si>
    <t>10-20</t>
  </si>
  <si>
    <t>78,77</t>
  </si>
  <si>
    <t>89,50</t>
  </si>
  <si>
    <t>90,51</t>
  </si>
  <si>
    <t>86,82</t>
  </si>
  <si>
    <t>1</t>
  </si>
  <si>
    <t>4</t>
  </si>
  <si>
    <t>total skiers</t>
  </si>
  <si>
    <t>-- Charron at Start: Open 5K -- Closed: 1.25K, 2.5K  -- Flag the 3rd track in the morning</t>
  </si>
  <si>
    <t>-- Charron: Open 1.25K -- Peri's Way @ 8: Close 5K &amp; open 3.75/2.5K, watch for last 5K   --</t>
  </si>
  <si>
    <t>-- Powerline: Close 3.75K @ PL turnaround after last skier</t>
  </si>
  <si>
    <t>** Race Stats **</t>
  </si>
  <si>
    <t>Time: 8:03:26 AM</t>
  </si>
  <si>
    <t>Date: 27/01/2015</t>
  </si>
  <si>
    <t>Total</t>
  </si>
  <si>
    <t>Midget (M) 2001</t>
  </si>
  <si>
    <t>Midget (M) 2000</t>
  </si>
  <si>
    <t>Juvenile (M)1999</t>
  </si>
  <si>
    <t>Junior B (M) 1998</t>
  </si>
  <si>
    <t>Junior B (M) 1997</t>
  </si>
  <si>
    <t>Open/Junior A (M)</t>
  </si>
  <si>
    <t>Open/Senior (M)</t>
  </si>
  <si>
    <t>PN Sit Ski Assis (M)</t>
  </si>
  <si>
    <t>PN Stand/Deb (M)</t>
  </si>
  <si>
    <t>Midget (F) 2002</t>
  </si>
  <si>
    <t>Midget (F) 2001</t>
  </si>
  <si>
    <t>Juvenile (F) 2000</t>
  </si>
  <si>
    <t>Juvenile (F) 1999</t>
  </si>
  <si>
    <t>Junior B (F) 1998</t>
  </si>
  <si>
    <t>Junior B (F) 1997</t>
  </si>
  <si>
    <t>Open/Junior A (F)</t>
  </si>
  <si>
    <t>Open/Senior (F)</t>
  </si>
  <si>
    <t>PN Sit Ski Assis (F)</t>
  </si>
  <si>
    <t>PN Stand/Deb (F)</t>
  </si>
  <si>
    <t>Totals</t>
  </si>
  <si>
    <t>Time: 8:04:03 AM</t>
  </si>
  <si>
    <t>Juvenile (M) 1999</t>
  </si>
  <si>
    <t>Master/Maître(M)1975</t>
  </si>
  <si>
    <t>Master/Maître(M)1965</t>
  </si>
  <si>
    <t>Master/Maître(M)1955</t>
  </si>
  <si>
    <t>Master/Maître(M)1925</t>
  </si>
  <si>
    <t>Master/Maître(F)1975</t>
  </si>
  <si>
    <t>Master/Maître(F)1965</t>
  </si>
  <si>
    <t>Master/Maître(F)1955</t>
  </si>
  <si>
    <t>Master/Maître(F)1925</t>
  </si>
  <si>
    <t>Time: 8:04:36 AM</t>
  </si>
  <si>
    <t>actual</t>
  </si>
  <si>
    <t>estimated</t>
  </si>
  <si>
    <t>Friday 5 February, 2016</t>
  </si>
  <si>
    <t>Saturday 6 February, 2016</t>
  </si>
  <si>
    <t>Sunday 7 February, 2016</t>
  </si>
  <si>
    <t xml:space="preserve">MORNING PARA START AT: </t>
  </si>
  <si>
    <t>Set up 800m and 1.25km after qualifiers, then reset the sprint course</t>
  </si>
  <si>
    <t>Take down Sprint Course and 3km set up</t>
  </si>
  <si>
    <t xml:space="preserve">AFTERNOON PROLOGUE STARTS AT: </t>
  </si>
  <si>
    <t>5 (4 x 1.25)</t>
  </si>
  <si>
    <t>2.5 (2 x 1.25)</t>
  </si>
  <si>
    <t>-</t>
  </si>
  <si>
    <t>Actual Max 2015</t>
  </si>
  <si>
    <t xml:space="preserve">SPRINT QUALIFIERS START AT: </t>
  </si>
  <si>
    <t>Sr/Jr M</t>
  </si>
  <si>
    <t>Sr/Jr F</t>
  </si>
  <si>
    <t>Planned Start</t>
  </si>
  <si>
    <t xml:space="preserve">Year of Birth </t>
  </si>
  <si>
    <t xml:space="preserve">Friday February 5 Free </t>
  </si>
  <si>
    <t xml:space="preserve">Saturday February 6 Free </t>
  </si>
  <si>
    <t xml:space="preserve">Sunday February 7 Classic </t>
  </si>
  <si>
    <t xml:space="preserve">Open Categories </t>
  </si>
  <si>
    <t xml:space="preserve">Sprint Qualifier and Heats* </t>
  </si>
  <si>
    <t xml:space="preserve">Medium Distance Interval Start </t>
  </si>
  <si>
    <t xml:space="preserve">Long Distance Mass Start </t>
  </si>
  <si>
    <t xml:space="preserve">Junior Woman </t>
  </si>
  <si>
    <t xml:space="preserve">1997, 1996 </t>
  </si>
  <si>
    <t xml:space="preserve">1400m </t>
  </si>
  <si>
    <t xml:space="preserve">10km (2x5km) † </t>
  </si>
  <si>
    <t xml:space="preserve">15km (3x5km) † </t>
  </si>
  <si>
    <t xml:space="preserve">Junior Man </t>
  </si>
  <si>
    <t xml:space="preserve">1500m </t>
  </si>
  <si>
    <t xml:space="preserve">20km (4x5km) † </t>
  </si>
  <si>
    <t xml:space="preserve">Senior Woman </t>
  </si>
  <si>
    <t xml:space="preserve">1995 &amp; earlier </t>
  </si>
  <si>
    <t xml:space="preserve">Senior Man </t>
  </si>
  <si>
    <t xml:space="preserve">Para-nordic Categories </t>
  </si>
  <si>
    <t xml:space="preserve">Sprint Distance Interval Start </t>
  </si>
  <si>
    <t xml:space="preserve">PN Standing Woman </t>
  </si>
  <si>
    <t xml:space="preserve">2001 &amp; earlier </t>
  </si>
  <si>
    <t xml:space="preserve">1250m </t>
  </si>
  <si>
    <t xml:space="preserve">5km (2x2.5km) </t>
  </si>
  <si>
    <t xml:space="preserve">7.5km (3x2.5km) </t>
  </si>
  <si>
    <t xml:space="preserve">PN Standing Man </t>
  </si>
  <si>
    <t xml:space="preserve">10km (4x2.5km) </t>
  </si>
  <si>
    <t xml:space="preserve">PN Sit Ski Woman </t>
  </si>
  <si>
    <t xml:space="preserve">800m </t>
  </si>
  <si>
    <t xml:space="preserve">2.5km (2x1.25km) </t>
  </si>
  <si>
    <t xml:space="preserve">5km (4x1.25km) </t>
  </si>
  <si>
    <t xml:space="preserve">PN Sit Ski Man </t>
  </si>
  <si>
    <t xml:space="preserve">Other Categories </t>
  </si>
  <si>
    <t xml:space="preserve">Prologue Interval Start </t>
  </si>
  <si>
    <t xml:space="preserve">Midget Girl </t>
  </si>
  <si>
    <t xml:space="preserve">2003, 2002 </t>
  </si>
  <si>
    <t xml:space="preserve">3km </t>
  </si>
  <si>
    <t xml:space="preserve">Midget Boy </t>
  </si>
  <si>
    <t xml:space="preserve">2002, 2001 </t>
  </si>
  <si>
    <t xml:space="preserve">Juvenile Girl </t>
  </si>
  <si>
    <t xml:space="preserve">2001, 2000 </t>
  </si>
  <si>
    <t xml:space="preserve">5km (1x5km) </t>
  </si>
  <si>
    <t xml:space="preserve">7.5km (2x3.75km) </t>
  </si>
  <si>
    <t xml:space="preserve">Juvenile Boy </t>
  </si>
  <si>
    <t xml:space="preserve">10km (2x5km) </t>
  </si>
  <si>
    <t xml:space="preserve">Junior Girl </t>
  </si>
  <si>
    <t xml:space="preserve">1999, 1998 </t>
  </si>
  <si>
    <t xml:space="preserve">Junior Boy </t>
  </si>
  <si>
    <t xml:space="preserve">15km (3x5km) </t>
  </si>
  <si>
    <t xml:space="preserve">Master Woman </t>
  </si>
  <si>
    <t xml:space="preserve">1984 &amp; earlier </t>
  </si>
  <si>
    <t xml:space="preserve">n/a </t>
  </si>
  <si>
    <t xml:space="preserve">Master Man </t>
  </si>
  <si>
    <t xml:space="preserve">20km (4x5km) </t>
  </si>
  <si>
    <t>, then, run to completion</t>
  </si>
  <si>
    <t xml:space="preserve">SPRINT AWARD TIME STARTS AFTER COMPLETION, AT: </t>
  </si>
  <si>
    <r>
      <t xml:space="preserve">SR/JR WOMENS SPRINT HEATS START </t>
    </r>
    <r>
      <rPr>
        <b/>
        <sz val="8"/>
        <color indexed="10"/>
        <rFont val="Arial"/>
        <family val="2"/>
      </rPr>
      <t>AT ABOUT:</t>
    </r>
    <r>
      <rPr>
        <b/>
        <sz val="8"/>
        <rFont val="Arial"/>
        <family val="2"/>
      </rPr>
      <t xml:space="preserve"> </t>
    </r>
  </si>
  <si>
    <t xml:space="preserve">SR/JR MENS SPRINT HEATS START AT: </t>
  </si>
  <si>
    <t>– – Charron: Open at start 1.25K, 2.5K, PL turnaround – –</t>
  </si>
  <si>
    <t xml:space="preserve">– – Close #8 Peri's Way and Chute Charron after 5K, set 3.75K turnaround  – – </t>
  </si>
  <si>
    <t xml:space="preserve">– – Charron: Open #8 Peri's Way and Close 1.25K @ #10 after final laps for each – – </t>
  </si>
  <si>
    <t>watch for collisions @ PL turn</t>
  </si>
  <si>
    <t>– –  PL turnaround: Close for 2.5K   – –</t>
  </si>
  <si>
    <t>Coach Notes:</t>
  </si>
  <si>
    <t>- Course team will need to rescrub the PN tracks at Charron after Jr Girl mass start</t>
  </si>
  <si>
    <t>- not closing the PN Sit Tracks this year - Junior and Juv Girls need to ski aware of PN skiers, esp top of Gopher Gully. Whiskers at Gopher turn</t>
  </si>
  <si>
    <t>- Starter Note: Make sure no PN Sit in start corridor for the Juv Girls start</t>
  </si>
  <si>
    <t>12 (4 x 3)</t>
  </si>
  <si>
    <t>9 (3 x 3)</t>
  </si>
  <si>
    <t>6 (2 x 3)</t>
  </si>
  <si>
    <t>- Course team will need to rescrub the PN tracks at Charron and Poweline turnaround after Jr Girl mass start</t>
  </si>
  <si>
    <t>Version</t>
  </si>
  <si>
    <t>Changes</t>
  </si>
  <si>
    <t>- Friday: Prologue, all boys together, all girls together</t>
  </si>
  <si>
    <t>- Sunday: Switched PN Stand and Midgets to 3K course, normal turn around</t>
  </si>
  <si>
    <t>Jr, Juv &amp; Midget M</t>
  </si>
  <si>
    <t>Jr, Juv &amp; Midget F</t>
  </si>
  <si>
    <t>Juv girls must be past Beep Beep or prob</t>
  </si>
  <si>
    <t>midgets - line up w PN, leave before PN lap #1</t>
  </si>
  <si>
    <t xml:space="preserve"> Sunday, gap time PN - Midget is 10 minutes - want the Midgets to leave before PN lap #1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</si>
</sst>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h:mm:ss\ AM/PM"/>
    <numFmt numFmtId="177" formatCode="h:mm:ss;@"/>
    <numFmt numFmtId="178" formatCode="hh:mm:ss;@"/>
    <numFmt numFmtId="179" formatCode="mm"/>
    <numFmt numFmtId="180" formatCode="mm:ss;@"/>
    <numFmt numFmtId="181" formatCode="m:ss;@"/>
    <numFmt numFmtId="182" formatCode="###0;###0"/>
    <numFmt numFmtId="183" formatCode="hh:mm"/>
  </numFmts>
  <fonts count="51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0"/>
    </font>
    <font>
      <b/>
      <sz val="12"/>
      <name val="Arial"/>
      <family val="2"/>
    </font>
    <font>
      <b/>
      <sz val="8"/>
      <color indexed="10"/>
      <name val="Arial"/>
      <family val="2"/>
    </font>
    <font>
      <b/>
      <sz val="11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0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i/>
      <sz val="8"/>
      <color indexed="10"/>
      <name val="Arial"/>
      <family val="2"/>
    </font>
    <font>
      <b/>
      <i/>
      <sz val="10.5"/>
      <color indexed="8"/>
      <name val="Calibri"/>
      <family val="0"/>
    </font>
    <font>
      <i/>
      <sz val="10.5"/>
      <color indexed="8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0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b/>
      <i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77" fontId="1" fillId="0" borderId="0" xfId="0" applyNumberFormat="1" applyFont="1" applyAlignment="1">
      <alignment horizontal="center"/>
    </xf>
    <xf numFmtId="177" fontId="0" fillId="0" borderId="0" xfId="0" applyNumberFormat="1" applyAlignment="1">
      <alignment/>
    </xf>
    <xf numFmtId="177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0" fontId="1" fillId="0" borderId="0" xfId="0" applyFont="1" applyAlignment="1">
      <alignment/>
    </xf>
    <xf numFmtId="177" fontId="1" fillId="0" borderId="10" xfId="0" applyNumberFormat="1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20" fontId="1" fillId="33" borderId="0" xfId="0" applyNumberFormat="1" applyFont="1" applyFill="1" applyBorder="1" applyAlignment="1">
      <alignment horizontal="center"/>
    </xf>
    <xf numFmtId="1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0" fontId="1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77" fontId="1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Fill="1" applyAlignment="1">
      <alignment horizontal="center"/>
    </xf>
    <xf numFmtId="20" fontId="1" fillId="0" borderId="11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77" fontId="1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20" fontId="1" fillId="0" borderId="13" xfId="0" applyNumberFormat="1" applyFont="1" applyBorder="1" applyAlignment="1">
      <alignment horizontal="center"/>
    </xf>
    <xf numFmtId="177" fontId="1" fillId="0" borderId="13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1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20" fontId="1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7" xfId="0" applyNumberFormat="1" applyFont="1" applyFill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177" fontId="1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77" fontId="1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1" fillId="0" borderId="15" xfId="0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0" fillId="0" borderId="15" xfId="0" applyNumberForma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0" fillId="0" borderId="11" xfId="0" applyNumberForma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NumberFormat="1" applyFont="1" applyFill="1" applyBorder="1" applyAlignment="1">
      <alignment horizontal="left"/>
    </xf>
    <xf numFmtId="177" fontId="1" fillId="0" borderId="12" xfId="0" applyNumberFormat="1" applyFont="1" applyFill="1" applyBorder="1" applyAlignment="1">
      <alignment horizontal="center"/>
    </xf>
    <xf numFmtId="0" fontId="1" fillId="0" borderId="21" xfId="0" applyFont="1" applyBorder="1" applyAlignment="1">
      <alignment/>
    </xf>
    <xf numFmtId="49" fontId="1" fillId="0" borderId="22" xfId="0" applyNumberFormat="1" applyFont="1" applyBorder="1" applyAlignment="1">
      <alignment horizontal="center"/>
    </xf>
    <xf numFmtId="20" fontId="1" fillId="0" borderId="22" xfId="0" applyNumberFormat="1" applyFont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177" fontId="0" fillId="0" borderId="22" xfId="0" applyNumberFormat="1" applyBorder="1" applyAlignment="1">
      <alignment/>
    </xf>
    <xf numFmtId="0" fontId="0" fillId="0" borderId="22" xfId="0" applyBorder="1" applyAlignment="1">
      <alignment horizontal="center"/>
    </xf>
    <xf numFmtId="0" fontId="1" fillId="0" borderId="23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20" fontId="1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20" fontId="1" fillId="0" borderId="13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20" fontId="1" fillId="0" borderId="22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left"/>
    </xf>
    <xf numFmtId="0" fontId="0" fillId="0" borderId="19" xfId="0" applyBorder="1" applyAlignment="1">
      <alignment/>
    </xf>
    <xf numFmtId="180" fontId="1" fillId="0" borderId="10" xfId="0" applyNumberFormat="1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20" fontId="1" fillId="0" borderId="24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177" fontId="0" fillId="0" borderId="0" xfId="0" applyNumberFormat="1" applyFill="1" applyAlignment="1">
      <alignment/>
    </xf>
    <xf numFmtId="0" fontId="1" fillId="0" borderId="13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20" xfId="0" applyFill="1" applyBorder="1" applyAlignment="1">
      <alignment/>
    </xf>
    <xf numFmtId="0" fontId="47" fillId="0" borderId="10" xfId="0" applyFont="1" applyFill="1" applyBorder="1" applyAlignment="1">
      <alignment horizontal="left"/>
    </xf>
    <xf numFmtId="1" fontId="1" fillId="0" borderId="22" xfId="0" applyNumberFormat="1" applyFont="1" applyFill="1" applyBorder="1" applyAlignment="1">
      <alignment horizontal="center"/>
    </xf>
    <xf numFmtId="20" fontId="48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Fill="1" applyBorder="1" applyAlignment="1">
      <alignment/>
    </xf>
    <xf numFmtId="0" fontId="47" fillId="0" borderId="13" xfId="0" applyNumberFormat="1" applyFont="1" applyFill="1" applyBorder="1" applyAlignment="1">
      <alignment horizontal="left"/>
    </xf>
    <xf numFmtId="0" fontId="47" fillId="0" borderId="10" xfId="0" applyNumberFormat="1" applyFont="1" applyFill="1" applyBorder="1" applyAlignment="1">
      <alignment horizontal="left"/>
    </xf>
    <xf numFmtId="177" fontId="0" fillId="0" borderId="0" xfId="0" applyNumberFormat="1" applyFont="1" applyFill="1" applyAlignment="1">
      <alignment/>
    </xf>
    <xf numFmtId="0" fontId="2" fillId="0" borderId="23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/>
    </xf>
    <xf numFmtId="0" fontId="47" fillId="34" borderId="10" xfId="0" applyFont="1" applyFill="1" applyBorder="1" applyAlignment="1">
      <alignment/>
    </xf>
    <xf numFmtId="0" fontId="1" fillId="0" borderId="10" xfId="0" applyFont="1" applyBorder="1" applyAlignment="1" quotePrefix="1">
      <alignment/>
    </xf>
    <xf numFmtId="1" fontId="1" fillId="0" borderId="12" xfId="0" applyNumberFormat="1" applyFont="1" applyFill="1" applyBorder="1" applyAlignment="1">
      <alignment horizontal="center"/>
    </xf>
    <xf numFmtId="0" fontId="50" fillId="0" borderId="0" xfId="0" applyNumberFormat="1" applyFont="1" applyFill="1" applyBorder="1" applyAlignment="1" quotePrefix="1">
      <alignment horizontal="left" vertical="center"/>
    </xf>
    <xf numFmtId="20" fontId="1" fillId="0" borderId="0" xfId="0" applyNumberFormat="1" applyFont="1" applyFill="1" applyBorder="1" applyAlignment="1">
      <alignment horizontal="center"/>
    </xf>
    <xf numFmtId="177" fontId="0" fillId="0" borderId="0" xfId="0" applyNumberFormat="1" applyFill="1" applyBorder="1" applyAlignment="1">
      <alignment/>
    </xf>
    <xf numFmtId="0" fontId="50" fillId="0" borderId="0" xfId="0" applyNumberFormat="1" applyFont="1" applyFill="1" applyBorder="1" applyAlignment="1" quotePrefix="1">
      <alignment horizontal="left"/>
    </xf>
    <xf numFmtId="20" fontId="0" fillId="0" borderId="0" xfId="0" applyNumberFormat="1" applyFill="1" applyBorder="1" applyAlignment="1">
      <alignment/>
    </xf>
    <xf numFmtId="0" fontId="1" fillId="0" borderId="25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50" fillId="34" borderId="22" xfId="0" applyNumberFormat="1" applyFont="1" applyFill="1" applyBorder="1" applyAlignment="1" quotePrefix="1">
      <alignment horizontal="left" vertical="center"/>
    </xf>
    <xf numFmtId="20" fontId="1" fillId="34" borderId="22" xfId="0" applyNumberFormat="1" applyFont="1" applyFill="1" applyBorder="1" applyAlignment="1">
      <alignment horizontal="center"/>
    </xf>
    <xf numFmtId="0" fontId="0" fillId="34" borderId="0" xfId="0" applyFill="1" applyBorder="1" applyAlignment="1">
      <alignment/>
    </xf>
    <xf numFmtId="1" fontId="50" fillId="34" borderId="22" xfId="0" applyNumberFormat="1" applyFont="1" applyFill="1" applyBorder="1" applyAlignment="1" quotePrefix="1">
      <alignment horizontal="left" vertical="center"/>
    </xf>
    <xf numFmtId="0" fontId="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177" fontId="2" fillId="0" borderId="10" xfId="0" applyNumberFormat="1" applyFont="1" applyFill="1" applyBorder="1" applyAlignment="1">
      <alignment horizontal="center" wrapText="1"/>
    </xf>
    <xf numFmtId="49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50" fillId="0" borderId="20" xfId="0" applyNumberFormat="1" applyFont="1" applyFill="1" applyBorder="1" applyAlignment="1">
      <alignment horizontal="center"/>
    </xf>
    <xf numFmtId="0" fontId="50" fillId="0" borderId="22" xfId="0" applyNumberFormat="1" applyFont="1" applyFill="1" applyBorder="1" applyAlignment="1" quotePrefix="1">
      <alignment horizontal="left" vertical="center"/>
    </xf>
    <xf numFmtId="177" fontId="0" fillId="0" borderId="22" xfId="0" applyNumberFormat="1" applyFill="1" applyBorder="1" applyAlignment="1">
      <alignment/>
    </xf>
    <xf numFmtId="20" fontId="0" fillId="0" borderId="22" xfId="0" applyNumberFormat="1" applyFill="1" applyBorder="1" applyAlignment="1">
      <alignment/>
    </xf>
    <xf numFmtId="177" fontId="1" fillId="0" borderId="22" xfId="0" applyNumberFormat="1" applyFont="1" applyFill="1" applyBorder="1" applyAlignment="1">
      <alignment horizontal="center"/>
    </xf>
    <xf numFmtId="0" fontId="49" fillId="0" borderId="22" xfId="0" applyNumberFormat="1" applyFont="1" applyFill="1" applyBorder="1" applyAlignment="1" quotePrefix="1">
      <alignment horizontal="left"/>
    </xf>
    <xf numFmtId="20" fontId="1" fillId="0" borderId="21" xfId="0" applyNumberFormat="1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0" fillId="34" borderId="0" xfId="0" applyNumberFormat="1" applyFill="1" applyBorder="1" applyAlignment="1">
      <alignment/>
    </xf>
    <xf numFmtId="2" fontId="1" fillId="34" borderId="22" xfId="0" applyNumberFormat="1" applyFont="1" applyFill="1" applyBorder="1" applyAlignment="1">
      <alignment horizontal="center"/>
    </xf>
    <xf numFmtId="2" fontId="47" fillId="0" borderId="12" xfId="0" applyNumberFormat="1" applyFont="1" applyFill="1" applyBorder="1" applyAlignment="1">
      <alignment horizontal="center"/>
    </xf>
    <xf numFmtId="2" fontId="47" fillId="0" borderId="10" xfId="0" applyNumberFormat="1" applyFont="1" applyFill="1" applyBorder="1" applyAlignment="1">
      <alignment horizontal="center"/>
    </xf>
    <xf numFmtId="2" fontId="47" fillId="33" borderId="0" xfId="0" applyNumberFormat="1" applyFont="1" applyFill="1" applyBorder="1" applyAlignment="1">
      <alignment horizontal="center"/>
    </xf>
    <xf numFmtId="2" fontId="1" fillId="33" borderId="22" xfId="0" applyNumberFormat="1" applyFont="1" applyFill="1" applyBorder="1" applyAlignment="1">
      <alignment horizontal="center"/>
    </xf>
    <xf numFmtId="2" fontId="47" fillId="33" borderId="22" xfId="0" applyNumberFormat="1" applyFont="1" applyFill="1" applyBorder="1" applyAlignment="1">
      <alignment horizontal="center"/>
    </xf>
    <xf numFmtId="2" fontId="47" fillId="0" borderId="22" xfId="0" applyNumberFormat="1" applyFont="1" applyFill="1" applyBorder="1" applyAlignment="1">
      <alignment horizontal="center"/>
    </xf>
    <xf numFmtId="2" fontId="47" fillId="0" borderId="10" xfId="0" applyNumberFormat="1" applyFont="1" applyBorder="1" applyAlignment="1">
      <alignment horizontal="center"/>
    </xf>
    <xf numFmtId="21" fontId="1" fillId="0" borderId="10" xfId="0" applyNumberFormat="1" applyFont="1" applyFill="1" applyBorder="1" applyAlignment="1">
      <alignment horizontal="center"/>
    </xf>
    <xf numFmtId="183" fontId="2" fillId="0" borderId="11" xfId="0" applyNumberFormat="1" applyFont="1" applyFill="1" applyBorder="1" applyAlignment="1">
      <alignment horizontal="center"/>
    </xf>
    <xf numFmtId="20" fontId="2" fillId="0" borderId="11" xfId="0" applyNumberFormat="1" applyFont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20" fontId="2" fillId="0" borderId="11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20" fontId="1" fillId="34" borderId="10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47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20" fontId="1" fillId="0" borderId="12" xfId="0" applyNumberFormat="1" applyFont="1" applyFill="1" applyBorder="1" applyAlignment="1">
      <alignment horizontal="center" vertical="center"/>
    </xf>
    <xf numFmtId="20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50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7" fillId="0" borderId="0" xfId="0" applyNumberFormat="1" applyFont="1" applyFill="1" applyBorder="1" applyAlignment="1">
      <alignment horizontal="left"/>
    </xf>
    <xf numFmtId="0" fontId="50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47" fillId="0" borderId="0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20" fontId="1" fillId="0" borderId="17" xfId="0" applyNumberFormat="1" applyFont="1" applyBorder="1" applyAlignment="1">
      <alignment horizontal="center"/>
    </xf>
    <xf numFmtId="20" fontId="1" fillId="0" borderId="20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50" fillId="34" borderId="22" xfId="0" applyNumberFormat="1" applyFont="1" applyFill="1" applyBorder="1" applyAlignment="1" quotePrefix="1">
      <alignment horizontal="left" vertical="center"/>
    </xf>
    <xf numFmtId="20" fontId="0" fillId="34" borderId="22" xfId="0" applyNumberFormat="1" applyFill="1" applyBorder="1" applyAlignment="1">
      <alignment/>
    </xf>
    <xf numFmtId="0" fontId="0" fillId="34" borderId="22" xfId="0" applyFill="1" applyBorder="1" applyAlignment="1">
      <alignment horizontal="center"/>
    </xf>
    <xf numFmtId="0" fontId="50" fillId="34" borderId="22" xfId="0" applyNumberFormat="1" applyFont="1" applyFill="1" applyBorder="1" applyAlignment="1" quotePrefix="1">
      <alignment horizontal="left"/>
    </xf>
    <xf numFmtId="20" fontId="1" fillId="34" borderId="22" xfId="0" applyNumberFormat="1" applyFont="1" applyFill="1" applyBorder="1" applyAlignment="1">
      <alignment horizontal="center"/>
    </xf>
    <xf numFmtId="0" fontId="1" fillId="34" borderId="22" xfId="0" applyNumberFormat="1" applyFont="1" applyFill="1" applyBorder="1" applyAlignment="1">
      <alignment horizontal="center"/>
    </xf>
    <xf numFmtId="0" fontId="1" fillId="0" borderId="0" xfId="0" applyFont="1" applyFill="1" applyBorder="1" applyAlignment="1" quotePrefix="1">
      <alignment/>
    </xf>
    <xf numFmtId="0" fontId="2" fillId="0" borderId="0" xfId="0" applyFont="1" applyFill="1" applyBorder="1" applyAlignment="1">
      <alignment/>
    </xf>
    <xf numFmtId="0" fontId="1" fillId="25" borderId="10" xfId="0" applyFont="1" applyFill="1" applyBorder="1" applyAlignment="1">
      <alignment horizontal="left"/>
    </xf>
    <xf numFmtId="0" fontId="50" fillId="0" borderId="18" xfId="0" applyNumberFormat="1" applyFont="1" applyFill="1" applyBorder="1" applyAlignment="1">
      <alignment horizontal="left" wrapText="1"/>
    </xf>
    <xf numFmtId="0" fontId="50" fillId="0" borderId="20" xfId="0" applyNumberFormat="1" applyFont="1" applyFill="1" applyBorder="1" applyAlignment="1">
      <alignment horizontal="left" wrapText="1"/>
    </xf>
    <xf numFmtId="0" fontId="7" fillId="0" borderId="26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 quotePrefix="1">
      <alignment/>
    </xf>
    <xf numFmtId="0" fontId="3" fillId="0" borderId="11" xfId="0" applyFont="1" applyBorder="1" applyAlignment="1">
      <alignment/>
    </xf>
    <xf numFmtId="20" fontId="1" fillId="25" borderId="12" xfId="0" applyNumberFormat="1" applyFont="1" applyFill="1" applyBorder="1" applyAlignment="1">
      <alignment horizontal="center" vertical="center"/>
    </xf>
    <xf numFmtId="20" fontId="1" fillId="25" borderId="10" xfId="0" applyNumberFormat="1" applyFont="1" applyFill="1" applyBorder="1" applyAlignment="1">
      <alignment horizontal="center"/>
    </xf>
    <xf numFmtId="0" fontId="1" fillId="17" borderId="10" xfId="0" applyFont="1" applyFill="1" applyBorder="1" applyAlignment="1">
      <alignment horizontal="left"/>
    </xf>
    <xf numFmtId="20" fontId="1" fillId="17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20</xdr:row>
      <xdr:rowOff>66675</xdr:rowOff>
    </xdr:from>
    <xdr:to>
      <xdr:col>10</xdr:col>
      <xdr:colOff>2095500</xdr:colOff>
      <xdr:row>25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381625" y="3514725"/>
          <a:ext cx="2590800" cy="704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Sprint Order: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Senior followed by Junior for: 
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Quarters (2x5)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-&gt;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Semis (2x2)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-&gt;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Finals - B &amp; A (2x2) 
= 18 races 
= about 1h10 min  for men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showGridLines="0" tabSelected="1" zoomScale="145" zoomScaleNormal="145" workbookViewId="0" topLeftCell="A1">
      <selection activeCell="B5" sqref="B5"/>
    </sheetView>
  </sheetViews>
  <sheetFormatPr defaultColWidth="11.421875" defaultRowHeight="12.75"/>
  <cols>
    <col min="2" max="2" width="71.00390625" style="0" customWidth="1"/>
  </cols>
  <sheetData>
    <row r="1" spans="1:2" ht="12">
      <c r="A1" s="254" t="s">
        <v>211</v>
      </c>
      <c r="B1" s="254" t="s">
        <v>212</v>
      </c>
    </row>
    <row r="2" spans="1:2" ht="12">
      <c r="A2" s="252">
        <v>20160121</v>
      </c>
      <c r="B2" s="253" t="s">
        <v>213</v>
      </c>
    </row>
    <row r="3" ht="12">
      <c r="B3" s="253" t="s">
        <v>214</v>
      </c>
    </row>
    <row r="4" ht="12">
      <c r="B4" s="253" t="s">
        <v>219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showGridLines="0" zoomScale="145" zoomScaleNormal="145" workbookViewId="0" topLeftCell="A7">
      <selection activeCell="F30" sqref="F30"/>
    </sheetView>
  </sheetViews>
  <sheetFormatPr defaultColWidth="8.8515625" defaultRowHeight="12.75"/>
  <cols>
    <col min="1" max="1" width="14.8515625" style="0" customWidth="1"/>
    <col min="2" max="2" width="7.421875" style="0" customWidth="1"/>
    <col min="3" max="3" width="8.140625" style="0" customWidth="1"/>
    <col min="4" max="4" width="8.421875" style="0" customWidth="1"/>
    <col min="5" max="5" width="7.8515625" style="27" customWidth="1"/>
    <col min="6" max="10" width="8.28125" style="0" customWidth="1"/>
    <col min="11" max="11" width="32.28125" style="1" customWidth="1"/>
    <col min="12" max="12" width="4.7109375" style="218" customWidth="1"/>
    <col min="13" max="15" width="8.8515625" style="0" customWidth="1"/>
    <col min="16" max="16" width="8.28125" style="0" customWidth="1"/>
  </cols>
  <sheetData>
    <row r="1" spans="2:8" ht="15">
      <c r="B1" s="35"/>
      <c r="C1" s="35"/>
      <c r="D1" s="35"/>
      <c r="F1" s="35"/>
      <c r="G1" s="35" t="s">
        <v>124</v>
      </c>
      <c r="H1" s="35"/>
    </row>
    <row r="2" spans="2:8" ht="12">
      <c r="B2" s="42"/>
      <c r="C2" s="42"/>
      <c r="D2" s="42"/>
      <c r="F2" s="42"/>
      <c r="G2" s="42" t="s">
        <v>34</v>
      </c>
      <c r="H2" s="42"/>
    </row>
    <row r="3" spans="1:15" ht="12">
      <c r="A3" s="5"/>
      <c r="B3" s="5"/>
      <c r="D3" s="5"/>
      <c r="F3" s="5"/>
      <c r="G3" s="34" t="s">
        <v>0</v>
      </c>
      <c r="N3" t="s">
        <v>28</v>
      </c>
      <c r="O3" t="s">
        <v>29</v>
      </c>
    </row>
    <row r="4" spans="5:15" ht="12">
      <c r="E4"/>
      <c r="N4" s="14">
        <v>0.0006944444444444445</v>
      </c>
      <c r="O4" s="14">
        <v>0.041666666666666664</v>
      </c>
    </row>
    <row r="5" spans="1:12" ht="12">
      <c r="A5" s="34" t="s">
        <v>30</v>
      </c>
      <c r="B5" s="43">
        <v>0.375</v>
      </c>
      <c r="C5" s="21"/>
      <c r="D5" s="3"/>
      <c r="E5" s="4"/>
      <c r="F5" s="21"/>
      <c r="G5" s="3"/>
      <c r="H5" s="21"/>
      <c r="I5" s="33"/>
      <c r="K5" s="33"/>
      <c r="L5" s="33"/>
    </row>
    <row r="6" spans="1:15" ht="12">
      <c r="A6" s="3" t="s">
        <v>7</v>
      </c>
      <c r="B6" s="3"/>
      <c r="C6" s="2"/>
      <c r="D6" s="3"/>
      <c r="F6" s="4"/>
      <c r="G6" s="3"/>
      <c r="H6" s="2"/>
      <c r="M6">
        <v>2015</v>
      </c>
      <c r="N6" s="36">
        <v>2014</v>
      </c>
      <c r="O6" s="36">
        <v>2014</v>
      </c>
    </row>
    <row r="7" spans="1:16" ht="39.75">
      <c r="A7" s="44" t="s">
        <v>1</v>
      </c>
      <c r="B7" s="44" t="s">
        <v>6</v>
      </c>
      <c r="C7" s="46" t="s">
        <v>39</v>
      </c>
      <c r="D7" s="48" t="s">
        <v>45</v>
      </c>
      <c r="E7" s="45" t="s">
        <v>37</v>
      </c>
      <c r="F7" s="47" t="s">
        <v>31</v>
      </c>
      <c r="G7" s="47" t="s">
        <v>20</v>
      </c>
      <c r="H7" s="47" t="s">
        <v>44</v>
      </c>
      <c r="I7" s="46" t="s">
        <v>43</v>
      </c>
      <c r="J7" s="48" t="s">
        <v>33</v>
      </c>
      <c r="K7" s="45" t="s">
        <v>46</v>
      </c>
      <c r="L7" s="219"/>
      <c r="M7" s="46" t="s">
        <v>53</v>
      </c>
      <c r="N7" s="47" t="s">
        <v>54</v>
      </c>
      <c r="O7" s="47" t="s">
        <v>53</v>
      </c>
      <c r="P7" s="48" t="s">
        <v>134</v>
      </c>
    </row>
    <row r="8" spans="1:16" ht="12">
      <c r="A8" s="87"/>
      <c r="B8" s="87" t="s">
        <v>41</v>
      </c>
      <c r="C8" s="89" t="s">
        <v>40</v>
      </c>
      <c r="D8" s="89" t="s">
        <v>40</v>
      </c>
      <c r="E8" s="89" t="s">
        <v>40</v>
      </c>
      <c r="F8" s="88"/>
      <c r="G8" s="90" t="s">
        <v>19</v>
      </c>
      <c r="H8" s="88" t="s">
        <v>38</v>
      </c>
      <c r="I8" s="89" t="s">
        <v>40</v>
      </c>
      <c r="J8" s="88" t="s">
        <v>38</v>
      </c>
      <c r="K8" s="87"/>
      <c r="L8" s="220"/>
      <c r="M8" s="15"/>
      <c r="N8" s="51"/>
      <c r="O8" s="51"/>
      <c r="P8" s="88"/>
    </row>
    <row r="9" spans="1:16" ht="12">
      <c r="A9" s="79"/>
      <c r="B9" s="96"/>
      <c r="C9" s="80"/>
      <c r="D9" s="96"/>
      <c r="E9" s="96"/>
      <c r="F9" s="80"/>
      <c r="G9" s="98"/>
      <c r="H9" s="97"/>
      <c r="I9" s="80"/>
      <c r="J9" s="96"/>
      <c r="K9" s="99"/>
      <c r="L9" s="215"/>
      <c r="M9" s="15"/>
      <c r="N9" s="12"/>
      <c r="O9" s="12"/>
      <c r="P9" s="227"/>
    </row>
    <row r="10" spans="1:16" ht="12">
      <c r="A10" s="104"/>
      <c r="B10" s="94"/>
      <c r="C10" s="38"/>
      <c r="D10" s="38"/>
      <c r="E10" s="94"/>
      <c r="F10" s="173" t="s">
        <v>135</v>
      </c>
      <c r="G10" s="198">
        <f>start+5*min</f>
        <v>0.3784722222222222</v>
      </c>
      <c r="H10" s="95"/>
      <c r="I10" s="38"/>
      <c r="J10" s="38"/>
      <c r="K10" s="105"/>
      <c r="L10" s="215"/>
      <c r="M10" s="15"/>
      <c r="N10" s="12"/>
      <c r="O10" s="12"/>
      <c r="P10" s="208"/>
    </row>
    <row r="11" spans="1:16" ht="12">
      <c r="A11" s="81"/>
      <c r="B11" s="100"/>
      <c r="C11" s="85"/>
      <c r="D11" s="100"/>
      <c r="E11" s="100"/>
      <c r="F11" s="85"/>
      <c r="G11" s="102"/>
      <c r="H11" s="101"/>
      <c r="I11" s="85"/>
      <c r="J11" s="100"/>
      <c r="K11" s="103"/>
      <c r="L11" s="215"/>
      <c r="M11" s="15"/>
      <c r="N11" s="12"/>
      <c r="O11" s="12"/>
      <c r="P11" s="228"/>
    </row>
    <row r="12" spans="1:16" ht="12">
      <c r="A12" s="72" t="s">
        <v>136</v>
      </c>
      <c r="B12" s="91">
        <v>1.5</v>
      </c>
      <c r="C12" s="75">
        <f>G10</f>
        <v>0.3784722222222222</v>
      </c>
      <c r="D12" s="75">
        <f>C12+F12*G12+J12</f>
        <v>0.39322916666666663</v>
      </c>
      <c r="E12" s="75">
        <v>0.5625</v>
      </c>
      <c r="F12" s="92">
        <v>69</v>
      </c>
      <c r="G12" s="93">
        <f>0.25*min</f>
        <v>0.00017361111111111112</v>
      </c>
      <c r="H12" s="75">
        <f>3*min</f>
        <v>0.0020833333333333333</v>
      </c>
      <c r="I12" s="75">
        <f>C12+F12*G12</f>
        <v>0.39045138888888886</v>
      </c>
      <c r="J12" s="75">
        <f>4*min</f>
        <v>0.002777777777777778</v>
      </c>
      <c r="K12" s="146" t="s">
        <v>48</v>
      </c>
      <c r="L12" s="221"/>
      <c r="M12" s="10">
        <v>69</v>
      </c>
      <c r="N12" s="17">
        <v>120</v>
      </c>
      <c r="O12" s="17">
        <v>89</v>
      </c>
      <c r="P12" s="75"/>
    </row>
    <row r="13" spans="1:16" ht="12">
      <c r="A13" s="10" t="s">
        <v>137</v>
      </c>
      <c r="B13" s="11">
        <v>1.4</v>
      </c>
      <c r="C13" s="14">
        <f>D12+H12</f>
        <v>0.39531249999999996</v>
      </c>
      <c r="D13" s="14">
        <f>C13+F13*G13+J13</f>
        <v>0.40659722222222217</v>
      </c>
      <c r="E13" s="14">
        <v>0.5625</v>
      </c>
      <c r="F13" s="17">
        <v>49</v>
      </c>
      <c r="G13" s="19">
        <f>0.25*min</f>
        <v>0.00017361111111111112</v>
      </c>
      <c r="H13" s="14" t="s">
        <v>133</v>
      </c>
      <c r="I13" s="14">
        <f>C13+F13*G13</f>
        <v>0.4038194444444444</v>
      </c>
      <c r="J13" s="14">
        <f>4*min</f>
        <v>0.002777777777777778</v>
      </c>
      <c r="K13" s="147" t="s">
        <v>49</v>
      </c>
      <c r="L13" s="221"/>
      <c r="M13" s="10">
        <v>49</v>
      </c>
      <c r="N13" s="17">
        <v>60</v>
      </c>
      <c r="O13" s="17">
        <v>49</v>
      </c>
      <c r="P13" s="14"/>
    </row>
    <row r="14" spans="1:16" ht="12" customHeight="1">
      <c r="A14" s="104"/>
      <c r="B14" s="77"/>
      <c r="C14" s="116"/>
      <c r="D14" s="175"/>
      <c r="E14" s="176"/>
      <c r="F14" s="38"/>
      <c r="G14" s="156"/>
      <c r="H14" s="116"/>
      <c r="I14" s="116"/>
      <c r="J14" s="38"/>
      <c r="K14" s="242" t="s">
        <v>128</v>
      </c>
      <c r="L14" s="222"/>
      <c r="M14" s="10"/>
      <c r="N14" s="18"/>
      <c r="O14" s="18"/>
      <c r="P14" s="208"/>
    </row>
    <row r="15" spans="1:16" ht="12">
      <c r="A15" s="104"/>
      <c r="B15" s="77"/>
      <c r="C15" s="78"/>
      <c r="D15" s="78"/>
      <c r="E15" s="77"/>
      <c r="F15" s="173" t="s">
        <v>127</v>
      </c>
      <c r="G15" s="198">
        <f>start+1.25*hr</f>
        <v>0.4270833333333333</v>
      </c>
      <c r="H15" s="78"/>
      <c r="I15" s="78"/>
      <c r="J15" s="78"/>
      <c r="K15" s="243"/>
      <c r="L15" s="222"/>
      <c r="M15" s="10"/>
      <c r="N15" s="18"/>
      <c r="O15" s="18"/>
      <c r="P15" s="229"/>
    </row>
    <row r="16" spans="1:16" ht="12.75">
      <c r="A16" s="81"/>
      <c r="B16" s="171"/>
      <c r="C16" s="84"/>
      <c r="D16" s="84"/>
      <c r="E16" s="84"/>
      <c r="F16" s="101"/>
      <c r="G16" s="200"/>
      <c r="H16" s="84"/>
      <c r="I16" s="84"/>
      <c r="J16" s="84"/>
      <c r="K16" s="103"/>
      <c r="L16" s="215"/>
      <c r="M16" s="10"/>
      <c r="N16" s="13"/>
      <c r="O16" s="13"/>
      <c r="P16" s="230"/>
    </row>
    <row r="17" spans="1:16" ht="12">
      <c r="A17" s="10" t="s">
        <v>72</v>
      </c>
      <c r="B17" s="73" t="s">
        <v>23</v>
      </c>
      <c r="C17" s="75">
        <f>G15</f>
        <v>0.4270833333333333</v>
      </c>
      <c r="D17" s="75">
        <f>C17+F17*G17+J17</f>
        <v>0.4305555555555555</v>
      </c>
      <c r="E17" s="75">
        <v>0.4583333333333333</v>
      </c>
      <c r="F17" s="74">
        <v>1</v>
      </c>
      <c r="G17" s="76">
        <f>0*min</f>
        <v>0</v>
      </c>
      <c r="H17" s="37">
        <f>0*min</f>
        <v>0</v>
      </c>
      <c r="I17" s="14">
        <f>C17+F17*G17</f>
        <v>0.4270833333333333</v>
      </c>
      <c r="J17" s="75">
        <f>5*min</f>
        <v>0.0034722222222222225</v>
      </c>
      <c r="K17" s="172"/>
      <c r="L17" s="215"/>
      <c r="M17" s="10">
        <v>1</v>
      </c>
      <c r="N17" s="13">
        <v>4</v>
      </c>
      <c r="O17" s="13">
        <v>2</v>
      </c>
      <c r="P17" s="75"/>
    </row>
    <row r="18" spans="1:16" ht="12">
      <c r="A18" s="71" t="s">
        <v>73</v>
      </c>
      <c r="B18" s="16" t="s">
        <v>23</v>
      </c>
      <c r="C18" s="14">
        <f>C17+F17*G17+H17</f>
        <v>0.4270833333333333</v>
      </c>
      <c r="D18" s="14">
        <f>C18+F18*G18+J18</f>
        <v>0.4305555555555555</v>
      </c>
      <c r="E18" s="14">
        <f>E17</f>
        <v>0.4583333333333333</v>
      </c>
      <c r="F18" s="13">
        <v>2</v>
      </c>
      <c r="G18" s="39">
        <f>0*min</f>
        <v>0</v>
      </c>
      <c r="H18" s="37">
        <f>2*min</f>
        <v>0.001388888888888889</v>
      </c>
      <c r="I18" s="14">
        <f>C18+F18*G18</f>
        <v>0.4270833333333333</v>
      </c>
      <c r="J18" s="14">
        <f>5*min</f>
        <v>0.0034722222222222225</v>
      </c>
      <c r="K18" s="172"/>
      <c r="L18" s="215"/>
      <c r="M18" s="10">
        <v>2</v>
      </c>
      <c r="N18" s="13">
        <v>4</v>
      </c>
      <c r="O18" s="13">
        <v>2</v>
      </c>
      <c r="P18" s="14"/>
    </row>
    <row r="19" spans="1:16" ht="12">
      <c r="A19" s="10" t="s">
        <v>74</v>
      </c>
      <c r="B19" s="73" t="s">
        <v>22</v>
      </c>
      <c r="C19" s="75">
        <f>C18+F18*G18+H18</f>
        <v>0.4284722222222222</v>
      </c>
      <c r="D19" s="75">
        <f>C19+F19*G19+J19</f>
        <v>0.4319444444444444</v>
      </c>
      <c r="E19" s="75">
        <f>E18</f>
        <v>0.4583333333333333</v>
      </c>
      <c r="F19" s="92">
        <v>2</v>
      </c>
      <c r="G19" s="76">
        <f>0*min</f>
        <v>0</v>
      </c>
      <c r="H19" s="75">
        <f>2*min</f>
        <v>0.001388888888888889</v>
      </c>
      <c r="I19" s="75">
        <f>C19+F19*G19</f>
        <v>0.4284722222222222</v>
      </c>
      <c r="J19" s="75">
        <f>5*min</f>
        <v>0.0034722222222222225</v>
      </c>
      <c r="K19" s="172"/>
      <c r="L19" s="215"/>
      <c r="M19" s="10">
        <v>2</v>
      </c>
      <c r="N19" s="13">
        <v>5</v>
      </c>
      <c r="O19" s="13">
        <v>6</v>
      </c>
      <c r="P19" s="75"/>
    </row>
    <row r="20" spans="1:16" ht="12">
      <c r="A20" s="10" t="s">
        <v>75</v>
      </c>
      <c r="B20" s="16" t="s">
        <v>22</v>
      </c>
      <c r="C20" s="14">
        <f>C19+F19*G19+H19</f>
        <v>0.4298611111111111</v>
      </c>
      <c r="D20" s="14">
        <f>C20+F20*G20+J20</f>
        <v>0.43611111111111106</v>
      </c>
      <c r="E20" s="14">
        <f>E19</f>
        <v>0.4583333333333333</v>
      </c>
      <c r="F20" s="17">
        <v>2</v>
      </c>
      <c r="G20" s="39">
        <f>0*min</f>
        <v>0</v>
      </c>
      <c r="H20" s="14" t="s">
        <v>133</v>
      </c>
      <c r="I20" s="140">
        <f>C20+F20*G20</f>
        <v>0.4298611111111111</v>
      </c>
      <c r="J20" s="14">
        <f>9*min</f>
        <v>0.00625</v>
      </c>
      <c r="K20" s="132"/>
      <c r="L20" s="223"/>
      <c r="M20" s="10">
        <v>2</v>
      </c>
      <c r="N20" s="13">
        <v>5</v>
      </c>
      <c r="O20" s="13">
        <v>5</v>
      </c>
      <c r="P20" s="14"/>
    </row>
    <row r="21" spans="1:16" ht="12">
      <c r="A21" s="79"/>
      <c r="B21" s="96"/>
      <c r="C21" s="80"/>
      <c r="D21" s="96"/>
      <c r="E21" s="96"/>
      <c r="F21" s="80"/>
      <c r="G21" s="98"/>
      <c r="H21" s="97"/>
      <c r="I21" s="80"/>
      <c r="J21" s="96"/>
      <c r="K21" s="99"/>
      <c r="L21" s="215"/>
      <c r="M21" s="15"/>
      <c r="N21" s="12"/>
      <c r="O21" s="12"/>
      <c r="P21" s="227"/>
    </row>
    <row r="22" spans="1:16" ht="12">
      <c r="A22" s="104"/>
      <c r="B22" s="94"/>
      <c r="C22" s="38"/>
      <c r="D22" s="38"/>
      <c r="E22" s="94"/>
      <c r="F22" s="173" t="s">
        <v>197</v>
      </c>
      <c r="G22" s="201">
        <v>0.4583333333333333</v>
      </c>
      <c r="H22" s="225" t="s">
        <v>194</v>
      </c>
      <c r="I22" s="38"/>
      <c r="J22" s="38"/>
      <c r="K22" s="105"/>
      <c r="L22" s="215"/>
      <c r="M22" s="15"/>
      <c r="N22" s="12"/>
      <c r="O22" s="12"/>
      <c r="P22" s="208"/>
    </row>
    <row r="23" spans="1:16" ht="12">
      <c r="A23" s="104"/>
      <c r="B23" s="38"/>
      <c r="C23" s="202"/>
      <c r="D23" s="94"/>
      <c r="E23" s="94"/>
      <c r="F23" s="202"/>
      <c r="G23" s="95"/>
      <c r="H23" s="203"/>
      <c r="I23" s="202"/>
      <c r="J23" s="94"/>
      <c r="K23" s="105"/>
      <c r="L23" s="215"/>
      <c r="M23" s="15"/>
      <c r="N23" s="12"/>
      <c r="O23" s="12"/>
      <c r="P23" s="228"/>
    </row>
    <row r="24" spans="1:16" ht="12">
      <c r="A24" s="104"/>
      <c r="B24" s="77"/>
      <c r="C24" s="38"/>
      <c r="D24" s="38"/>
      <c r="E24" s="94"/>
      <c r="F24" s="173" t="s">
        <v>196</v>
      </c>
      <c r="G24" s="201">
        <v>0.5104166666666666</v>
      </c>
      <c r="H24" s="225" t="s">
        <v>194</v>
      </c>
      <c r="I24" s="204"/>
      <c r="J24" s="33"/>
      <c r="K24" s="106"/>
      <c r="L24" s="216"/>
      <c r="M24" s="15"/>
      <c r="N24" s="12"/>
      <c r="O24" s="12"/>
      <c r="P24" s="228"/>
    </row>
    <row r="25" spans="1:16" ht="12">
      <c r="A25" s="104"/>
      <c r="B25" s="77"/>
      <c r="C25" s="33"/>
      <c r="D25" s="33"/>
      <c r="E25" s="77"/>
      <c r="F25" s="78"/>
      <c r="G25" s="202"/>
      <c r="H25" s="33"/>
      <c r="I25" s="204"/>
      <c r="J25" s="33"/>
      <c r="K25" s="106"/>
      <c r="L25" s="216"/>
      <c r="M25" s="10"/>
      <c r="N25" s="18"/>
      <c r="O25" s="18"/>
      <c r="P25" s="231"/>
    </row>
    <row r="26" spans="1:16" ht="12">
      <c r="A26" s="104"/>
      <c r="B26" s="170"/>
      <c r="C26" s="175"/>
      <c r="D26" s="176"/>
      <c r="E26" s="95"/>
      <c r="F26" s="173" t="s">
        <v>195</v>
      </c>
      <c r="G26" s="199">
        <f>start+4.5*hr</f>
        <v>0.5625</v>
      </c>
      <c r="H26" s="116"/>
      <c r="I26" s="38"/>
      <c r="J26" s="38"/>
      <c r="K26" s="226"/>
      <c r="M26" s="10"/>
      <c r="N26" s="13"/>
      <c r="O26" s="13"/>
      <c r="P26" s="208"/>
    </row>
    <row r="27" spans="1:16" ht="12">
      <c r="A27" s="104"/>
      <c r="B27" s="170"/>
      <c r="C27" s="175"/>
      <c r="D27" s="176"/>
      <c r="E27" s="95"/>
      <c r="F27" s="173"/>
      <c r="G27" s="38"/>
      <c r="H27" s="116"/>
      <c r="I27" s="38"/>
      <c r="J27" s="38"/>
      <c r="K27" s="177" t="s">
        <v>129</v>
      </c>
      <c r="M27" s="10"/>
      <c r="N27" s="13"/>
      <c r="O27" s="13"/>
      <c r="P27" s="208"/>
    </row>
    <row r="28" spans="1:16" ht="12">
      <c r="A28" s="104"/>
      <c r="B28" s="77"/>
      <c r="C28" s="33"/>
      <c r="D28" s="38"/>
      <c r="E28" s="77"/>
      <c r="F28" s="173" t="s">
        <v>130</v>
      </c>
      <c r="G28" s="199">
        <f>start+5*hr</f>
        <v>0.5833333333333333</v>
      </c>
      <c r="H28" s="95"/>
      <c r="I28" s="38"/>
      <c r="J28" s="38"/>
      <c r="K28" s="177"/>
      <c r="L28" s="217"/>
      <c r="M28" s="10"/>
      <c r="N28" s="18"/>
      <c r="O28" s="18"/>
      <c r="P28" s="208"/>
    </row>
    <row r="29" spans="1:16" ht="12">
      <c r="A29" s="81"/>
      <c r="B29" s="82"/>
      <c r="C29" s="174"/>
      <c r="D29" s="174"/>
      <c r="E29" s="174"/>
      <c r="F29" s="83"/>
      <c r="G29" s="174"/>
      <c r="H29" s="102"/>
      <c r="I29" s="174"/>
      <c r="J29" s="174"/>
      <c r="K29" s="86"/>
      <c r="L29" s="216"/>
      <c r="M29" s="10"/>
      <c r="N29" s="18"/>
      <c r="O29" s="18"/>
      <c r="P29" s="232"/>
    </row>
    <row r="30" spans="1:16" ht="12">
      <c r="A30" s="66" t="s">
        <v>215</v>
      </c>
      <c r="B30" s="11">
        <v>3</v>
      </c>
      <c r="C30" s="14">
        <f>G28</f>
        <v>0.5833333333333333</v>
      </c>
      <c r="D30" s="14">
        <f>C30+F30*G30+J30</f>
        <v>0.6289930555555554</v>
      </c>
      <c r="E30" s="14">
        <v>0.6875</v>
      </c>
      <c r="F30" s="17">
        <f>155+56</f>
        <v>211</v>
      </c>
      <c r="G30" s="19">
        <f>0.25*min</f>
        <v>0.00017361111111111112</v>
      </c>
      <c r="H30" s="14">
        <f>8*min</f>
        <v>0.005555555555555556</v>
      </c>
      <c r="I30" s="14">
        <f>C30+F30*G30</f>
        <v>0.6199652777777777</v>
      </c>
      <c r="J30" s="14">
        <f>13*min</f>
        <v>0.009027777777777779</v>
      </c>
      <c r="K30" s="141" t="s">
        <v>70</v>
      </c>
      <c r="L30" s="224"/>
      <c r="M30" s="10" t="s">
        <v>77</v>
      </c>
      <c r="N30" s="13" t="s">
        <v>66</v>
      </c>
      <c r="O30" s="13" t="s">
        <v>67</v>
      </c>
      <c r="P30" s="196">
        <v>11.5</v>
      </c>
    </row>
    <row r="31" spans="1:16" ht="12">
      <c r="A31" s="66" t="s">
        <v>216</v>
      </c>
      <c r="B31" s="11">
        <v>3</v>
      </c>
      <c r="C31" s="14">
        <f>C30+F30*G30+H30</f>
        <v>0.6255208333333332</v>
      </c>
      <c r="D31" s="14">
        <f>C31+F31*G31+J31</f>
        <v>0.6682291666666665</v>
      </c>
      <c r="E31" s="14">
        <v>0.6875</v>
      </c>
      <c r="F31" s="17">
        <f>139+55</f>
        <v>194</v>
      </c>
      <c r="G31" s="19">
        <f>0.25*min</f>
        <v>0.00017361111111111112</v>
      </c>
      <c r="H31" s="37">
        <f>0*min</f>
        <v>0</v>
      </c>
      <c r="I31" s="14">
        <f>C31+F31*G31</f>
        <v>0.6592013888888888</v>
      </c>
      <c r="J31" s="14">
        <f>13*min</f>
        <v>0.009027777777777779</v>
      </c>
      <c r="K31" s="141" t="s">
        <v>70</v>
      </c>
      <c r="L31" s="224"/>
      <c r="M31" s="10" t="s">
        <v>78</v>
      </c>
      <c r="N31" s="13" t="s">
        <v>68</v>
      </c>
      <c r="O31" s="13" t="s">
        <v>69</v>
      </c>
      <c r="P31" s="196">
        <v>13.25</v>
      </c>
    </row>
    <row r="32" spans="5:16" ht="12">
      <c r="E32" s="1" t="s">
        <v>83</v>
      </c>
      <c r="F32" s="2">
        <f>SUM(F12:F31)</f>
        <v>530</v>
      </c>
      <c r="G32" s="133"/>
      <c r="H32" s="56"/>
      <c r="I32" s="56"/>
      <c r="L32" s="224"/>
      <c r="M32" s="10">
        <v>56</v>
      </c>
      <c r="N32" s="13">
        <v>33</v>
      </c>
      <c r="O32" s="13">
        <v>49</v>
      </c>
      <c r="P32" s="196">
        <v>13</v>
      </c>
    </row>
    <row r="33" spans="2:16" ht="12">
      <c r="B33" s="1"/>
      <c r="F33" s="205"/>
      <c r="G33" s="116"/>
      <c r="H33" s="116"/>
      <c r="I33" s="116"/>
      <c r="J33" s="56"/>
      <c r="L33" s="224"/>
      <c r="M33" s="10">
        <v>55</v>
      </c>
      <c r="N33" s="13">
        <v>21</v>
      </c>
      <c r="O33" s="13">
        <v>34</v>
      </c>
      <c r="P33" s="196">
        <v>15.5</v>
      </c>
    </row>
    <row r="34" spans="2:9" ht="12">
      <c r="B34" s="56"/>
      <c r="C34" s="56"/>
      <c r="F34" s="206"/>
      <c r="G34" s="56"/>
      <c r="H34" s="56"/>
      <c r="I34" s="56"/>
    </row>
    <row r="35" spans="14:16" ht="12">
      <c r="N35" t="s">
        <v>55</v>
      </c>
      <c r="P35" s="56"/>
    </row>
  </sheetData>
  <sheetProtection/>
  <mergeCells count="1">
    <mergeCell ref="K14:K15"/>
  </mergeCells>
  <printOptions/>
  <pageMargins left="0.25" right="0.25" top="0.75" bottom="0.75" header="0.3" footer="0.3"/>
  <pageSetup horizontalDpi="1200" verticalDpi="12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X27"/>
  <sheetViews>
    <sheetView showGridLines="0" zoomScale="160" zoomScaleNormal="160" workbookViewId="0" topLeftCell="A3">
      <selection activeCell="K18" sqref="K18"/>
    </sheetView>
  </sheetViews>
  <sheetFormatPr defaultColWidth="8.8515625" defaultRowHeight="12.75"/>
  <cols>
    <col min="1" max="1" width="12.140625" style="0" customWidth="1"/>
    <col min="2" max="2" width="9.140625" style="0" customWidth="1"/>
    <col min="3" max="3" width="8.140625" style="0" customWidth="1"/>
    <col min="4" max="4" width="7.7109375" style="27" customWidth="1"/>
    <col min="5" max="5" width="8.00390625" style="27" customWidth="1"/>
    <col min="6" max="6" width="10.140625" style="8" customWidth="1"/>
    <col min="7" max="7" width="10.28125" style="8" customWidth="1"/>
    <col min="8" max="8" width="8.8515625" style="8" customWidth="1"/>
    <col min="9" max="9" width="8.8515625" style="0" customWidth="1"/>
    <col min="10" max="10" width="7.28125" style="0" customWidth="1"/>
    <col min="11" max="11" width="21.7109375" style="0" customWidth="1"/>
    <col min="12" max="12" width="2.8515625" style="38" customWidth="1"/>
    <col min="13" max="13" width="11.140625" style="8" customWidth="1"/>
    <col min="14" max="14" width="4.00390625" style="0" customWidth="1"/>
    <col min="15" max="17" width="8.8515625" style="0" customWidth="1"/>
    <col min="18" max="18" width="10.28125" style="0" customWidth="1"/>
  </cols>
  <sheetData>
    <row r="1" spans="2:18" ht="15">
      <c r="B1" s="35"/>
      <c r="C1" s="35"/>
      <c r="D1" s="35"/>
      <c r="F1" s="35" t="s">
        <v>125</v>
      </c>
      <c r="H1" s="35"/>
      <c r="J1" s="35"/>
      <c r="M1" s="35"/>
      <c r="N1" s="35"/>
      <c r="R1" s="40"/>
    </row>
    <row r="2" spans="2:18" ht="12">
      <c r="B2" s="21"/>
      <c r="C2" s="21"/>
      <c r="D2" s="21"/>
      <c r="F2" s="36" t="s">
        <v>17</v>
      </c>
      <c r="H2" s="21"/>
      <c r="J2" s="21"/>
      <c r="M2" s="21"/>
      <c r="N2" s="3"/>
      <c r="R2" s="57"/>
    </row>
    <row r="3" spans="2:18" ht="12">
      <c r="B3" s="6"/>
      <c r="C3" s="6"/>
      <c r="D3" s="6"/>
      <c r="F3" s="5" t="s">
        <v>0</v>
      </c>
      <c r="H3" s="9"/>
      <c r="J3" s="3"/>
      <c r="M3" s="6"/>
      <c r="N3" s="3"/>
      <c r="R3" s="58"/>
    </row>
    <row r="4" spans="1:18" ht="12">
      <c r="A4" s="34" t="s">
        <v>30</v>
      </c>
      <c r="B4" s="43">
        <f>start</f>
        <v>0.375</v>
      </c>
      <c r="C4" s="6"/>
      <c r="D4" s="26"/>
      <c r="E4" s="26"/>
      <c r="F4" s="3"/>
      <c r="G4" s="6"/>
      <c r="H4" s="9"/>
      <c r="J4" s="3"/>
      <c r="M4" s="6"/>
      <c r="N4" s="3"/>
      <c r="R4" s="60"/>
    </row>
    <row r="5" spans="1:18" ht="12">
      <c r="A5" s="3" t="s">
        <v>7</v>
      </c>
      <c r="B5" s="3"/>
      <c r="C5" s="3"/>
      <c r="D5" s="4"/>
      <c r="E5" s="4"/>
      <c r="F5" s="7"/>
      <c r="G5" s="7"/>
      <c r="H5" s="7"/>
      <c r="J5" s="3"/>
      <c r="M5" s="7"/>
      <c r="N5" s="3"/>
      <c r="O5" s="5">
        <v>2015</v>
      </c>
      <c r="P5" s="36">
        <v>2014</v>
      </c>
      <c r="Q5" s="36">
        <v>2014</v>
      </c>
      <c r="R5" s="60"/>
    </row>
    <row r="6" spans="1:18" s="50" customFormat="1" ht="39.75">
      <c r="A6" s="44" t="s">
        <v>1</v>
      </c>
      <c r="B6" s="45" t="s">
        <v>6</v>
      </c>
      <c r="C6" s="46" t="s">
        <v>39</v>
      </c>
      <c r="D6" s="46" t="s">
        <v>43</v>
      </c>
      <c r="E6" s="48" t="s">
        <v>45</v>
      </c>
      <c r="F6" s="45" t="s">
        <v>37</v>
      </c>
      <c r="G6" s="45" t="s">
        <v>32</v>
      </c>
      <c r="H6" s="47" t="s">
        <v>20</v>
      </c>
      <c r="I6" s="47" t="s">
        <v>44</v>
      </c>
      <c r="J6" s="48" t="s">
        <v>33</v>
      </c>
      <c r="K6" s="48" t="s">
        <v>47</v>
      </c>
      <c r="L6" s="52"/>
      <c r="M6" s="48" t="s">
        <v>21</v>
      </c>
      <c r="N6" s="49"/>
      <c r="O6" s="45" t="s">
        <v>53</v>
      </c>
      <c r="P6" s="149" t="s">
        <v>54</v>
      </c>
      <c r="Q6" s="47" t="s">
        <v>53</v>
      </c>
      <c r="R6" s="48" t="s">
        <v>134</v>
      </c>
    </row>
    <row r="7" spans="1:18" ht="12">
      <c r="A7" s="10"/>
      <c r="B7" s="11" t="s">
        <v>5</v>
      </c>
      <c r="C7" s="22" t="s">
        <v>40</v>
      </c>
      <c r="D7" s="22" t="s">
        <v>40</v>
      </c>
      <c r="E7" s="22" t="s">
        <v>40</v>
      </c>
      <c r="F7" s="22" t="s">
        <v>40</v>
      </c>
      <c r="G7" s="11"/>
      <c r="H7" s="90" t="s">
        <v>19</v>
      </c>
      <c r="I7" s="12" t="s">
        <v>38</v>
      </c>
      <c r="J7" s="12" t="s">
        <v>38</v>
      </c>
      <c r="K7" s="143" t="s">
        <v>71</v>
      </c>
      <c r="M7" s="19" t="s">
        <v>2</v>
      </c>
      <c r="N7" s="3"/>
      <c r="O7" s="153"/>
      <c r="P7" s="150"/>
      <c r="Q7" s="51"/>
      <c r="R7" s="187"/>
    </row>
    <row r="8" spans="1:18" ht="19.5" customHeight="1">
      <c r="A8" s="108"/>
      <c r="B8" s="109"/>
      <c r="C8" s="133"/>
      <c r="D8" s="233" t="s">
        <v>198</v>
      </c>
      <c r="E8" s="234"/>
      <c r="F8" s="235"/>
      <c r="G8" s="236"/>
      <c r="H8" s="178"/>
      <c r="I8" s="125"/>
      <c r="J8" s="181"/>
      <c r="K8" s="115"/>
      <c r="M8" s="19"/>
      <c r="N8" s="3"/>
      <c r="O8" s="10"/>
      <c r="P8" s="151"/>
      <c r="Q8" s="12"/>
      <c r="R8" s="193"/>
    </row>
    <row r="9" spans="1:18" ht="12">
      <c r="A9" s="143" t="s">
        <v>72</v>
      </c>
      <c r="B9" s="70" t="s">
        <v>132</v>
      </c>
      <c r="C9" s="197">
        <f>start+5*min</f>
        <v>0.3784722222222222</v>
      </c>
      <c r="D9" s="37">
        <f>C9+G9*H9</f>
        <v>0.37881944444444443</v>
      </c>
      <c r="E9" s="37">
        <f>(C9+G9*H9)+J9</f>
        <v>0.3954861111111111</v>
      </c>
      <c r="F9" s="37">
        <v>0.4375</v>
      </c>
      <c r="G9" s="12">
        <v>1</v>
      </c>
      <c r="H9" s="39">
        <f>0.5*min</f>
        <v>0.00034722222222222224</v>
      </c>
      <c r="I9" s="37">
        <f>0*min</f>
        <v>0</v>
      </c>
      <c r="J9" s="37">
        <f>2*12*min</f>
        <v>0.016666666666666666</v>
      </c>
      <c r="K9" s="10"/>
      <c r="M9" s="70" t="s">
        <v>76</v>
      </c>
      <c r="N9" s="3"/>
      <c r="O9" s="10">
        <v>1</v>
      </c>
      <c r="P9" s="151">
        <v>2</v>
      </c>
      <c r="Q9" s="12">
        <v>2</v>
      </c>
      <c r="R9" s="185">
        <v>24</v>
      </c>
    </row>
    <row r="10" spans="1:24" ht="12">
      <c r="A10" s="144" t="s">
        <v>73</v>
      </c>
      <c r="B10" s="70" t="s">
        <v>132</v>
      </c>
      <c r="C10" s="197">
        <f>C9+G9*H9+I9</f>
        <v>0.37881944444444443</v>
      </c>
      <c r="D10" s="119">
        <f>C10+G10*H10</f>
        <v>0.3795138888888889</v>
      </c>
      <c r="E10" s="119">
        <f>(C10+G10*H10)+J10</f>
        <v>0.4003472222222222</v>
      </c>
      <c r="F10" s="119">
        <v>0.4375</v>
      </c>
      <c r="G10" s="90">
        <v>2</v>
      </c>
      <c r="H10" s="107">
        <f>0.5*min</f>
        <v>0.00034722222222222224</v>
      </c>
      <c r="I10" s="119">
        <f>2*min</f>
        <v>0.001388888888888889</v>
      </c>
      <c r="J10" s="119">
        <f>2*15*min</f>
        <v>0.020833333333333336</v>
      </c>
      <c r="K10" s="71"/>
      <c r="M10" s="70" t="s">
        <v>76</v>
      </c>
      <c r="N10" s="3"/>
      <c r="O10" s="10">
        <v>2</v>
      </c>
      <c r="P10" s="151">
        <v>2</v>
      </c>
      <c r="Q10" s="12">
        <v>2</v>
      </c>
      <c r="R10" s="186">
        <v>30</v>
      </c>
      <c r="S10" s="38"/>
      <c r="T10" s="38"/>
      <c r="U10" s="38"/>
      <c r="V10" s="38"/>
      <c r="W10" s="38"/>
      <c r="X10" s="38"/>
    </row>
    <row r="11" spans="1:18" ht="12">
      <c r="A11" s="108"/>
      <c r="B11" s="109"/>
      <c r="C11" s="113"/>
      <c r="D11" s="113"/>
      <c r="E11" s="180"/>
      <c r="F11" s="114"/>
      <c r="G11" s="111"/>
      <c r="H11" s="112"/>
      <c r="I11" s="110"/>
      <c r="J11" s="110"/>
      <c r="K11" s="115"/>
      <c r="M11" s="20"/>
      <c r="N11" s="3"/>
      <c r="O11" s="10"/>
      <c r="P11" s="151"/>
      <c r="Q11" s="12"/>
      <c r="R11" s="190"/>
    </row>
    <row r="12" spans="1:18" ht="12">
      <c r="A12" s="72" t="s">
        <v>74</v>
      </c>
      <c r="B12" s="121" t="s">
        <v>36</v>
      </c>
      <c r="C12" s="197">
        <f>C10+H10*G10+I10</f>
        <v>0.38090277777777776</v>
      </c>
      <c r="D12" s="75">
        <f>C12+G12*H12</f>
        <v>0.3815972222222222</v>
      </c>
      <c r="E12" s="122">
        <f>(C12+G12*H12)+J12</f>
        <v>0.39826388888888886</v>
      </c>
      <c r="F12" s="122">
        <f>F10</f>
        <v>0.4375</v>
      </c>
      <c r="G12" s="134">
        <v>2</v>
      </c>
      <c r="H12" s="93">
        <f>0.5*min</f>
        <v>0.00034722222222222224</v>
      </c>
      <c r="I12" s="37">
        <f>0*min</f>
        <v>0</v>
      </c>
      <c r="J12" s="14">
        <f>8*3*min</f>
        <v>0.016666666666666666</v>
      </c>
      <c r="K12" s="72"/>
      <c r="M12" s="19">
        <f>J12</f>
        <v>0.016666666666666666</v>
      </c>
      <c r="N12" s="3"/>
      <c r="O12" s="10">
        <v>2</v>
      </c>
      <c r="P12" s="151">
        <v>6</v>
      </c>
      <c r="Q12" s="12">
        <v>6</v>
      </c>
      <c r="R12" s="195">
        <v>25</v>
      </c>
    </row>
    <row r="13" spans="1:18" ht="12">
      <c r="A13" s="10" t="s">
        <v>75</v>
      </c>
      <c r="B13" s="67" t="s">
        <v>4</v>
      </c>
      <c r="C13" s="197">
        <f>C12+H12*G12+I12</f>
        <v>0.3815972222222222</v>
      </c>
      <c r="D13" s="14">
        <f>C13+G13*H13</f>
        <v>0.3829861111111111</v>
      </c>
      <c r="E13" s="37">
        <f>(C13+G13*H13)+J13</f>
        <v>0.3954861111111111</v>
      </c>
      <c r="F13" s="37">
        <f>F12</f>
        <v>0.4375</v>
      </c>
      <c r="G13" s="55">
        <v>4</v>
      </c>
      <c r="H13" s="19">
        <f>0.5*min</f>
        <v>0.00034722222222222224</v>
      </c>
      <c r="I13" s="37">
        <f>J10</f>
        <v>0.020833333333333336</v>
      </c>
      <c r="J13" s="14">
        <f>18*min</f>
        <v>0.0125</v>
      </c>
      <c r="K13" s="10"/>
      <c r="M13" s="19">
        <v>0.013888888888888888</v>
      </c>
      <c r="N13" s="3"/>
      <c r="O13" s="10">
        <v>4</v>
      </c>
      <c r="P13" s="151">
        <v>5</v>
      </c>
      <c r="Q13" s="12">
        <v>5</v>
      </c>
      <c r="R13" s="185">
        <v>18</v>
      </c>
    </row>
    <row r="14" spans="1:24" ht="19.5" customHeight="1">
      <c r="A14" s="108"/>
      <c r="B14" s="162"/>
      <c r="C14" s="179"/>
      <c r="D14" s="233" t="s">
        <v>200</v>
      </c>
      <c r="E14" s="234"/>
      <c r="F14" s="237"/>
      <c r="G14" s="238"/>
      <c r="H14" s="233"/>
      <c r="I14" s="237"/>
      <c r="J14" s="125"/>
      <c r="K14" s="115"/>
      <c r="M14" s="19"/>
      <c r="N14" s="3"/>
      <c r="O14" s="10"/>
      <c r="P14" s="151"/>
      <c r="Q14" s="12"/>
      <c r="R14" s="185"/>
      <c r="S14" s="155"/>
      <c r="T14" s="156"/>
      <c r="U14" s="157"/>
      <c r="V14" s="158"/>
      <c r="W14" s="159"/>
      <c r="X14" s="156"/>
    </row>
    <row r="15" spans="1:24" ht="12">
      <c r="A15" s="72" t="s">
        <v>62</v>
      </c>
      <c r="B15" s="91" t="s">
        <v>8</v>
      </c>
      <c r="C15" s="122">
        <f>C13+I13</f>
        <v>0.4024305555555555</v>
      </c>
      <c r="D15" s="122">
        <f>C15+G15*H15</f>
        <v>0.44479166666666664</v>
      </c>
      <c r="E15" s="122">
        <f>(C15+G15*H15)+J15</f>
        <v>0.49340277777777775</v>
      </c>
      <c r="F15" s="122">
        <v>0.5208333333333334</v>
      </c>
      <c r="G15" s="160">
        <v>122</v>
      </c>
      <c r="H15" s="76">
        <f>0.5*min</f>
        <v>0.00034722222222222224</v>
      </c>
      <c r="I15" s="122">
        <f>20*min</f>
        <v>0.01388888888888889</v>
      </c>
      <c r="J15" s="122">
        <f>70*min</f>
        <v>0.04861111111111111</v>
      </c>
      <c r="K15" s="161"/>
      <c r="M15" s="19">
        <f>X15</f>
        <v>0</v>
      </c>
      <c r="N15" s="3"/>
      <c r="O15" s="10">
        <v>122</v>
      </c>
      <c r="P15" s="151">
        <v>155</v>
      </c>
      <c r="Q15" s="12">
        <v>138</v>
      </c>
      <c r="R15" s="191">
        <v>69</v>
      </c>
      <c r="S15" s="38"/>
      <c r="T15" s="38"/>
      <c r="U15" s="38"/>
      <c r="V15" s="38"/>
      <c r="W15" s="38"/>
      <c r="X15" s="38"/>
    </row>
    <row r="16" spans="1:18" ht="12">
      <c r="A16" s="10" t="s">
        <v>65</v>
      </c>
      <c r="B16" s="11" t="s">
        <v>3</v>
      </c>
      <c r="C16" s="37">
        <f>C15+G15*H15+I15</f>
        <v>0.45868055555555554</v>
      </c>
      <c r="D16" s="37">
        <f>C16+G16*H16</f>
        <v>0.48506944444444444</v>
      </c>
      <c r="E16" s="37">
        <f>(C16+G16*H16)+J16</f>
        <v>0.5239583333333333</v>
      </c>
      <c r="F16" s="37">
        <v>0.5625</v>
      </c>
      <c r="G16" s="55">
        <v>76</v>
      </c>
      <c r="H16" s="39">
        <f>0.5*min</f>
        <v>0.00034722222222222224</v>
      </c>
      <c r="I16" s="37">
        <f>25*min</f>
        <v>0.017361111111111112</v>
      </c>
      <c r="J16" s="37">
        <f>56*min</f>
        <v>0.03888888888888889</v>
      </c>
      <c r="K16" s="141"/>
      <c r="M16" s="19">
        <f>J16</f>
        <v>0.03888888888888889</v>
      </c>
      <c r="N16" s="3"/>
      <c r="O16" s="10">
        <v>76</v>
      </c>
      <c r="P16" s="151">
        <v>62</v>
      </c>
      <c r="Q16" s="12">
        <v>73</v>
      </c>
      <c r="R16" s="192">
        <v>56</v>
      </c>
    </row>
    <row r="17" spans="1:18" ht="12">
      <c r="A17" s="108"/>
      <c r="B17" s="109"/>
      <c r="C17" s="179"/>
      <c r="D17" s="182"/>
      <c r="E17" s="180"/>
      <c r="F17" s="114"/>
      <c r="G17" s="112"/>
      <c r="H17" s="111"/>
      <c r="I17" s="125"/>
      <c r="J17" s="125"/>
      <c r="K17" s="115"/>
      <c r="M17" s="19"/>
      <c r="N17" s="3"/>
      <c r="O17" s="10"/>
      <c r="P17" s="12">
        <v>65</v>
      </c>
      <c r="Q17" s="12">
        <v>55</v>
      </c>
      <c r="R17" s="185"/>
    </row>
    <row r="18" spans="1:18" ht="12">
      <c r="A18" s="66" t="s">
        <v>64</v>
      </c>
      <c r="B18" s="67" t="s">
        <v>18</v>
      </c>
      <c r="C18" s="37">
        <f>C16+G16*H16+I16</f>
        <v>0.5024305555555556</v>
      </c>
      <c r="D18" s="183">
        <f>C18+G18*H18</f>
        <v>0.5269097222222223</v>
      </c>
      <c r="E18" s="37">
        <f>(C18+G18*H18)+J18</f>
        <v>0.5449652777777779</v>
      </c>
      <c r="F18" s="37">
        <v>0.5833333333333334</v>
      </c>
      <c r="G18" s="55">
        <v>141</v>
      </c>
      <c r="H18" s="39">
        <f>0.25*min</f>
        <v>0.00017361111111111112</v>
      </c>
      <c r="I18" s="37">
        <f>15*min</f>
        <v>0.010416666666666668</v>
      </c>
      <c r="J18" s="37">
        <f>26*min</f>
        <v>0.018055555555555557</v>
      </c>
      <c r="K18" s="152" t="s">
        <v>56</v>
      </c>
      <c r="M18" s="19">
        <f>J18</f>
        <v>0.018055555555555557</v>
      </c>
      <c r="N18" s="3"/>
      <c r="O18" s="10" t="s">
        <v>79</v>
      </c>
      <c r="P18" s="12">
        <v>66</v>
      </c>
      <c r="Q18" s="12">
        <v>82</v>
      </c>
      <c r="R18" s="190">
        <v>25.6</v>
      </c>
    </row>
    <row r="19" spans="1:18" ht="19.5" customHeight="1">
      <c r="A19" s="108"/>
      <c r="B19" s="109"/>
      <c r="C19" s="179"/>
      <c r="D19" s="233" t="s">
        <v>199</v>
      </c>
      <c r="E19" s="234"/>
      <c r="F19" s="235"/>
      <c r="G19" s="238"/>
      <c r="H19" s="233"/>
      <c r="I19" s="237"/>
      <c r="J19" s="125"/>
      <c r="K19" s="115"/>
      <c r="M19" s="19"/>
      <c r="N19" s="3"/>
      <c r="O19" s="10"/>
      <c r="P19" s="12">
        <v>92</v>
      </c>
      <c r="Q19" s="12">
        <v>83</v>
      </c>
      <c r="R19" s="185"/>
    </row>
    <row r="20" spans="1:18" ht="12">
      <c r="A20" s="66" t="s">
        <v>63</v>
      </c>
      <c r="B20" s="67" t="s">
        <v>9</v>
      </c>
      <c r="C20" s="37">
        <f>C18+G18*H18+I18</f>
        <v>0.537326388888889</v>
      </c>
      <c r="D20" s="37">
        <f>C20+G20*H20</f>
        <v>0.5664930555555556</v>
      </c>
      <c r="E20" s="37">
        <f>(C20+G20*H20)+J20</f>
        <v>0.5928819444444445</v>
      </c>
      <c r="F20" s="37">
        <v>0.625</v>
      </c>
      <c r="G20" s="55">
        <v>168</v>
      </c>
      <c r="H20" s="39">
        <f>0.25*min</f>
        <v>0.00017361111111111112</v>
      </c>
      <c r="I20" s="37">
        <f>25*min</f>
        <v>0.017361111111111112</v>
      </c>
      <c r="J20" s="37">
        <f>38*min</f>
        <v>0.02638888888888889</v>
      </c>
      <c r="K20" s="141"/>
      <c r="M20" s="23" t="s">
        <v>26</v>
      </c>
      <c r="N20" s="3"/>
      <c r="O20" s="10" t="s">
        <v>80</v>
      </c>
      <c r="P20" s="12">
        <v>63</v>
      </c>
      <c r="Q20" s="12">
        <v>86</v>
      </c>
      <c r="R20" s="194">
        <v>38</v>
      </c>
    </row>
    <row r="21" spans="1:18" ht="19.5" customHeight="1">
      <c r="A21" s="108"/>
      <c r="B21" s="109"/>
      <c r="C21" s="179"/>
      <c r="D21" s="233" t="s">
        <v>202</v>
      </c>
      <c r="E21" s="234"/>
      <c r="F21" s="235"/>
      <c r="G21" s="111"/>
      <c r="H21" s="178"/>
      <c r="I21" s="125"/>
      <c r="J21" s="125"/>
      <c r="K21" s="115"/>
      <c r="M21" s="19"/>
      <c r="N21" s="3"/>
      <c r="O21" s="10"/>
      <c r="P21" s="151"/>
      <c r="Q21" s="12"/>
      <c r="R21" s="185"/>
    </row>
    <row r="22" spans="1:18" ht="12">
      <c r="A22" s="10" t="s">
        <v>12</v>
      </c>
      <c r="B22" s="11" t="s">
        <v>4</v>
      </c>
      <c r="C22" s="37">
        <f>C20+G20*H20+I20</f>
        <v>0.5838541666666668</v>
      </c>
      <c r="D22" s="14">
        <f>C22+G22*H22</f>
        <v>0.6008680555555557</v>
      </c>
      <c r="E22" s="14">
        <f>(C22+G22*H22)+J22</f>
        <v>0.6182291666666668</v>
      </c>
      <c r="F22" s="37">
        <v>0.6666666666666666</v>
      </c>
      <c r="G22" s="55">
        <v>98</v>
      </c>
      <c r="H22" s="19">
        <f>0.25*min</f>
        <v>0.00017361111111111112</v>
      </c>
      <c r="I22" s="37">
        <f>5*min</f>
        <v>0.0034722222222222225</v>
      </c>
      <c r="J22" s="14">
        <f>25*min</f>
        <v>0.017361111111111112</v>
      </c>
      <c r="K22" s="152" t="s">
        <v>201</v>
      </c>
      <c r="M22" s="23" t="s">
        <v>27</v>
      </c>
      <c r="N22" s="3"/>
      <c r="O22" s="10">
        <v>98</v>
      </c>
      <c r="P22" s="151">
        <v>67</v>
      </c>
      <c r="Q22" s="12">
        <v>74</v>
      </c>
      <c r="R22" s="190">
        <v>24.6</v>
      </c>
    </row>
    <row r="23" spans="1:18" ht="12">
      <c r="A23" s="10" t="s">
        <v>13</v>
      </c>
      <c r="B23" s="11" t="s">
        <v>4</v>
      </c>
      <c r="C23" s="14">
        <f>C22+H22*G22+I22</f>
        <v>0.6043402777777779</v>
      </c>
      <c r="D23" s="14">
        <f>C23+G23*H23</f>
        <v>0.6210069444444446</v>
      </c>
      <c r="E23" s="14">
        <f>(C23+G23*H23)+J23</f>
        <v>0.6397569444444446</v>
      </c>
      <c r="F23" s="37">
        <v>0.6666666666666666</v>
      </c>
      <c r="G23" s="55">
        <v>96</v>
      </c>
      <c r="H23" s="19">
        <f>0.25*min</f>
        <v>0.00017361111111111112</v>
      </c>
      <c r="I23" s="37">
        <f>0*min</f>
        <v>0</v>
      </c>
      <c r="J23" s="14">
        <f>27*min</f>
        <v>0.01875</v>
      </c>
      <c r="K23" s="141"/>
      <c r="M23" s="23" t="s">
        <v>16</v>
      </c>
      <c r="N23" s="3"/>
      <c r="O23" s="10">
        <v>96</v>
      </c>
      <c r="P23" s="151">
        <v>54</v>
      </c>
      <c r="Q23" s="12">
        <v>63</v>
      </c>
      <c r="R23" s="195">
        <v>27</v>
      </c>
    </row>
    <row r="24" spans="5:9" ht="12.75" thickBot="1">
      <c r="E24" s="53" t="s">
        <v>58</v>
      </c>
      <c r="F24" s="56"/>
      <c r="G24" s="130">
        <f>SUM(G9:G23)</f>
        <v>710</v>
      </c>
      <c r="H24" s="53"/>
      <c r="I24" s="131">
        <f>SUM(I9:I23)</f>
        <v>0.08472222222222224</v>
      </c>
    </row>
    <row r="25" spans="7:18" ht="12.75" thickTop="1">
      <c r="G25" s="148"/>
      <c r="H25" s="133"/>
      <c r="I25" s="56"/>
      <c r="J25" s="56"/>
      <c r="K25" s="56"/>
      <c r="L25" s="116"/>
      <c r="M25" s="133"/>
      <c r="R25" s="56"/>
    </row>
    <row r="26" ht="12">
      <c r="R26" s="56"/>
    </row>
    <row r="27" spans="7:10" ht="12">
      <c r="G27" s="136"/>
      <c r="H27" s="133"/>
      <c r="I27" s="56"/>
      <c r="J27" s="56"/>
    </row>
  </sheetData>
  <sheetProtection/>
  <printOptions/>
  <pageMargins left="0.7" right="0.7" top="0.75" bottom="0.75" header="0.3" footer="0.3"/>
  <pageSetup horizontalDpi="1200" verticalDpi="12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8"/>
  <sheetViews>
    <sheetView showGridLines="0" zoomScale="160" zoomScaleNormal="160" workbookViewId="0" topLeftCell="A5">
      <selection activeCell="C42" sqref="C42"/>
    </sheetView>
  </sheetViews>
  <sheetFormatPr defaultColWidth="8.8515625" defaultRowHeight="12.75"/>
  <cols>
    <col min="1" max="1" width="12.140625" style="0" customWidth="1"/>
    <col min="2" max="2" width="9.140625" style="0" customWidth="1"/>
    <col min="3" max="3" width="9.28125" style="0" customWidth="1"/>
    <col min="4" max="4" width="8.421875" style="0" customWidth="1"/>
    <col min="5" max="5" width="9.00390625" style="0" customWidth="1"/>
    <col min="6" max="6" width="10.00390625" style="0" customWidth="1"/>
    <col min="7" max="7" width="10.140625" style="0" customWidth="1"/>
    <col min="8" max="8" width="10.28125" style="0" customWidth="1"/>
    <col min="9" max="9" width="33.7109375" style="0" customWidth="1"/>
    <col min="10" max="10" width="25.7109375" style="0" customWidth="1"/>
    <col min="11" max="11" width="7.7109375" style="38" customWidth="1"/>
    <col min="12" max="13" width="8.8515625" style="0" customWidth="1"/>
    <col min="14" max="14" width="10.28125" style="0" customWidth="1"/>
  </cols>
  <sheetData>
    <row r="1" spans="2:14" ht="15">
      <c r="B1" s="40"/>
      <c r="C1" s="40"/>
      <c r="F1" s="40"/>
      <c r="G1" s="35" t="s">
        <v>126</v>
      </c>
      <c r="H1" s="40"/>
      <c r="N1" s="40"/>
    </row>
    <row r="2" spans="1:14" ht="12">
      <c r="A2" s="56"/>
      <c r="B2" s="57"/>
      <c r="C2" s="57"/>
      <c r="D2" s="56"/>
      <c r="F2" s="57"/>
      <c r="G2" s="42" t="s">
        <v>52</v>
      </c>
      <c r="H2" s="57"/>
      <c r="I2" s="56"/>
      <c r="J2" s="56"/>
      <c r="K2" s="116"/>
      <c r="N2" s="57"/>
    </row>
    <row r="3" spans="1:14" ht="12">
      <c r="A3" s="58"/>
      <c r="B3" s="58"/>
      <c r="C3" s="58"/>
      <c r="D3" s="56"/>
      <c r="F3" s="61"/>
      <c r="G3" s="59" t="s">
        <v>0</v>
      </c>
      <c r="H3" s="58"/>
      <c r="I3" s="58"/>
      <c r="J3" s="58"/>
      <c r="K3" s="116"/>
      <c r="N3" s="58"/>
    </row>
    <row r="4" spans="1:14" ht="12">
      <c r="A4" s="59" t="s">
        <v>30</v>
      </c>
      <c r="B4" s="43">
        <f>start</f>
        <v>0.375</v>
      </c>
      <c r="C4" s="56"/>
      <c r="D4" s="58"/>
      <c r="E4" s="58"/>
      <c r="F4" s="60"/>
      <c r="G4" s="61"/>
      <c r="H4" s="60"/>
      <c r="I4" s="56"/>
      <c r="J4" s="56"/>
      <c r="K4" s="116"/>
      <c r="N4" s="60"/>
    </row>
    <row r="5" spans="1:14" ht="12">
      <c r="A5" s="60" t="s">
        <v>7</v>
      </c>
      <c r="B5" s="60"/>
      <c r="C5" s="60"/>
      <c r="D5" s="63"/>
      <c r="E5" s="62"/>
      <c r="F5" s="60"/>
      <c r="G5" s="63"/>
      <c r="H5" s="60"/>
      <c r="I5" s="56"/>
      <c r="J5" s="56"/>
      <c r="K5" s="116"/>
      <c r="N5" s="60"/>
    </row>
    <row r="6" spans="1:14" ht="39.75">
      <c r="A6" s="64" t="s">
        <v>1</v>
      </c>
      <c r="B6" s="64" t="s">
        <v>6</v>
      </c>
      <c r="C6" s="46" t="s">
        <v>39</v>
      </c>
      <c r="D6" s="48" t="s">
        <v>45</v>
      </c>
      <c r="E6" s="65" t="s">
        <v>37</v>
      </c>
      <c r="F6" s="65" t="s">
        <v>32</v>
      </c>
      <c r="G6" s="47" t="s">
        <v>44</v>
      </c>
      <c r="H6" s="48" t="s">
        <v>33</v>
      </c>
      <c r="I6" s="64" t="s">
        <v>46</v>
      </c>
      <c r="J6" s="56"/>
      <c r="K6" s="168">
        <v>2015</v>
      </c>
      <c r="L6" s="167">
        <v>2014</v>
      </c>
      <c r="M6" s="167">
        <v>2014</v>
      </c>
      <c r="N6" s="48" t="s">
        <v>134</v>
      </c>
    </row>
    <row r="7" spans="1:14" ht="12">
      <c r="A7" s="66"/>
      <c r="B7" s="67" t="s">
        <v>41</v>
      </c>
      <c r="C7" s="68" t="s">
        <v>40</v>
      </c>
      <c r="D7" s="68" t="s">
        <v>40</v>
      </c>
      <c r="E7" s="68" t="s">
        <v>40</v>
      </c>
      <c r="F7" s="67"/>
      <c r="G7" s="55" t="s">
        <v>42</v>
      </c>
      <c r="H7" s="55" t="s">
        <v>42</v>
      </c>
      <c r="I7" s="142"/>
      <c r="J7" s="56"/>
      <c r="K7" s="169" t="s">
        <v>53</v>
      </c>
      <c r="L7" s="47" t="s">
        <v>54</v>
      </c>
      <c r="M7" s="47" t="s">
        <v>53</v>
      </c>
      <c r="N7" s="55"/>
    </row>
    <row r="8" spans="1:14" ht="19.5" customHeight="1">
      <c r="A8" s="123"/>
      <c r="B8" s="124"/>
      <c r="C8" s="233" t="s">
        <v>84</v>
      </c>
      <c r="D8" s="184"/>
      <c r="E8" s="237"/>
      <c r="F8" s="233"/>
      <c r="G8" s="237"/>
      <c r="H8" s="184"/>
      <c r="I8" s="126"/>
      <c r="J8" s="56"/>
      <c r="K8" s="66"/>
      <c r="L8" s="47"/>
      <c r="M8" s="47"/>
      <c r="N8" s="184"/>
    </row>
    <row r="9" spans="1:15" ht="12">
      <c r="A9" s="117" t="s">
        <v>62</v>
      </c>
      <c r="B9" s="118" t="s">
        <v>24</v>
      </c>
      <c r="C9" s="119">
        <f>start+5*min</f>
        <v>0.3784722222222222</v>
      </c>
      <c r="D9" s="119">
        <f>C9+H9</f>
        <v>0.4409722222222222</v>
      </c>
      <c r="E9" s="119">
        <v>0.4791666666666667</v>
      </c>
      <c r="F9" s="154">
        <v>121</v>
      </c>
      <c r="G9" s="119">
        <f>H9-15*min</f>
        <v>0.05208333333333333</v>
      </c>
      <c r="H9" s="119">
        <f>90*min</f>
        <v>0.0625</v>
      </c>
      <c r="I9" s="128"/>
      <c r="J9" s="56"/>
      <c r="K9" s="66">
        <v>121</v>
      </c>
      <c r="L9" s="67">
        <v>125</v>
      </c>
      <c r="M9" s="67">
        <v>124</v>
      </c>
      <c r="N9" s="190">
        <f>70*20/15</f>
        <v>93.33333333333333</v>
      </c>
      <c r="O9">
        <f>51+64+4+2</f>
        <v>121</v>
      </c>
    </row>
    <row r="10" spans="1:14" ht="12">
      <c r="A10" s="123"/>
      <c r="B10" s="124"/>
      <c r="C10" s="125"/>
      <c r="D10" s="125"/>
      <c r="E10" s="125"/>
      <c r="F10" s="139"/>
      <c r="G10" s="125"/>
      <c r="H10" s="124"/>
      <c r="I10" s="129"/>
      <c r="J10" s="56"/>
      <c r="K10" s="66" t="s">
        <v>122</v>
      </c>
      <c r="L10" s="67" t="s">
        <v>123</v>
      </c>
      <c r="M10" s="67" t="s">
        <v>122</v>
      </c>
      <c r="N10" s="186"/>
    </row>
    <row r="11" spans="1:14" ht="12">
      <c r="A11" s="120" t="s">
        <v>25</v>
      </c>
      <c r="B11" s="121" t="s">
        <v>8</v>
      </c>
      <c r="C11" s="122">
        <f>D9-15*min</f>
        <v>0.4305555555555555</v>
      </c>
      <c r="D11" s="119">
        <f>C11+H11</f>
        <v>0.4888888888888889</v>
      </c>
      <c r="E11" s="122">
        <v>0.5208333333333334</v>
      </c>
      <c r="F11" s="92">
        <v>74</v>
      </c>
      <c r="G11" s="122">
        <f>H11-20*min</f>
        <v>0.044444444444444446</v>
      </c>
      <c r="H11" s="119">
        <f>84*min</f>
        <v>0.058333333333333334</v>
      </c>
      <c r="I11" s="128"/>
      <c r="J11" s="56"/>
      <c r="K11" s="66">
        <v>74</v>
      </c>
      <c r="L11" s="67">
        <v>67</v>
      </c>
      <c r="M11" s="67">
        <v>76</v>
      </c>
      <c r="N11" s="190">
        <f>56*15/10</f>
        <v>84</v>
      </c>
    </row>
    <row r="12" spans="1:19" ht="12">
      <c r="A12" s="123"/>
      <c r="B12" s="124"/>
      <c r="C12" s="125"/>
      <c r="D12" s="125"/>
      <c r="E12" s="125"/>
      <c r="F12" s="139"/>
      <c r="G12" s="125"/>
      <c r="H12" s="124"/>
      <c r="I12" s="129"/>
      <c r="J12" s="56"/>
      <c r="K12" s="66"/>
      <c r="L12" s="69"/>
      <c r="M12" s="67"/>
      <c r="N12" s="186"/>
      <c r="P12" s="28"/>
      <c r="Q12" s="29"/>
      <c r="R12" s="30"/>
      <c r="S12" s="28"/>
    </row>
    <row r="13" spans="1:19" ht="12">
      <c r="A13" s="66" t="s">
        <v>11</v>
      </c>
      <c r="B13" s="67" t="s">
        <v>8</v>
      </c>
      <c r="C13" s="37">
        <f>C11+G11</f>
        <v>0.475</v>
      </c>
      <c r="D13" s="119">
        <f>C13+H13</f>
        <v>0.5187499999999999</v>
      </c>
      <c r="E13" s="37">
        <v>0.5625</v>
      </c>
      <c r="F13" s="17">
        <v>78</v>
      </c>
      <c r="G13" s="37">
        <f>H13-15*min</f>
        <v>0.03333333333333334</v>
      </c>
      <c r="H13" s="119">
        <f>63*min</f>
        <v>0.043750000000000004</v>
      </c>
      <c r="I13" s="128"/>
      <c r="J13" s="56"/>
      <c r="K13" s="66">
        <v>78</v>
      </c>
      <c r="L13" s="67">
        <f>350-261+1</f>
        <v>90</v>
      </c>
      <c r="M13" s="67">
        <v>83</v>
      </c>
      <c r="N13" s="185">
        <f>42*15/10</f>
        <v>63</v>
      </c>
      <c r="O13">
        <f>43+35</f>
        <v>78</v>
      </c>
      <c r="P13" s="28"/>
      <c r="Q13" s="29"/>
      <c r="R13" s="30"/>
      <c r="S13" s="28"/>
    </row>
    <row r="14" spans="1:19" ht="12">
      <c r="A14" s="66" t="s">
        <v>14</v>
      </c>
      <c r="B14" s="67" t="s">
        <v>3</v>
      </c>
      <c r="C14" s="37">
        <f>C13+G13</f>
        <v>0.5083333333333333</v>
      </c>
      <c r="D14" s="119">
        <f>C14+H14</f>
        <v>0.5395833333333333</v>
      </c>
      <c r="E14" s="37">
        <v>0.6041666666666666</v>
      </c>
      <c r="F14" s="17">
        <v>84</v>
      </c>
      <c r="G14" s="37">
        <f>H14-15*min</f>
        <v>0.020833333333333332</v>
      </c>
      <c r="H14" s="119">
        <f>45*min</f>
        <v>0.03125</v>
      </c>
      <c r="I14" s="128"/>
      <c r="J14" s="56"/>
      <c r="K14" s="66">
        <v>84</v>
      </c>
      <c r="L14" s="67">
        <f>413-351+1</f>
        <v>63</v>
      </c>
      <c r="M14" s="67">
        <v>83</v>
      </c>
      <c r="N14" s="185">
        <f>22.6*10/5</f>
        <v>45.2</v>
      </c>
      <c r="O14">
        <v>80</v>
      </c>
      <c r="P14" s="28"/>
      <c r="Q14" s="29"/>
      <c r="R14" s="30"/>
      <c r="S14" s="28"/>
    </row>
    <row r="15" spans="1:19" ht="12">
      <c r="A15" s="66" t="s">
        <v>10</v>
      </c>
      <c r="B15" s="67" t="s">
        <v>3</v>
      </c>
      <c r="C15" s="37">
        <f>C14+G14</f>
        <v>0.5291666666666667</v>
      </c>
      <c r="D15" s="37">
        <f>C15+H15</f>
        <v>0.5625</v>
      </c>
      <c r="E15" s="37">
        <v>0.6041666666666666</v>
      </c>
      <c r="F15" s="17">
        <v>54</v>
      </c>
      <c r="G15" s="37">
        <f>5*min</f>
        <v>0.0034722222222222225</v>
      </c>
      <c r="H15" s="37">
        <f>48*min</f>
        <v>0.03333333333333333</v>
      </c>
      <c r="I15" s="138"/>
      <c r="J15" s="56"/>
      <c r="K15" s="66">
        <v>54</v>
      </c>
      <c r="L15" s="67">
        <f>481-421+1</f>
        <v>61</v>
      </c>
      <c r="M15" s="67">
        <v>54</v>
      </c>
      <c r="N15" s="187">
        <f>24*10/5</f>
        <v>48</v>
      </c>
      <c r="O15" s="32"/>
      <c r="P15" s="28"/>
      <c r="Q15" s="29"/>
      <c r="R15" s="30"/>
      <c r="S15" s="28"/>
    </row>
    <row r="16" spans="1:19" ht="19.5" customHeight="1">
      <c r="A16" s="127"/>
      <c r="B16" s="38"/>
      <c r="C16" s="166" t="s">
        <v>85</v>
      </c>
      <c r="D16" s="165"/>
      <c r="E16" s="165"/>
      <c r="F16" s="166"/>
      <c r="G16" s="165"/>
      <c r="H16" s="165"/>
      <c r="I16" s="137"/>
      <c r="J16" s="56"/>
      <c r="K16" s="66"/>
      <c r="L16" s="15"/>
      <c r="M16" s="15"/>
      <c r="N16" s="188"/>
      <c r="O16" s="32"/>
      <c r="P16" s="28"/>
      <c r="Q16" s="29"/>
      <c r="R16" s="30"/>
      <c r="S16" s="28"/>
    </row>
    <row r="17" spans="1:19" ht="12">
      <c r="A17" s="145" t="s">
        <v>72</v>
      </c>
      <c r="B17" s="70" t="s">
        <v>131</v>
      </c>
      <c r="C17" s="37">
        <f>C15+G15</f>
        <v>0.5326388888888889</v>
      </c>
      <c r="D17" s="119">
        <f>C17+H17</f>
        <v>0.5743055555555555</v>
      </c>
      <c r="E17" s="37">
        <v>0.6041666666666666</v>
      </c>
      <c r="F17" s="17" t="s">
        <v>81</v>
      </c>
      <c r="G17" s="37">
        <f>0*min</f>
        <v>0</v>
      </c>
      <c r="H17" s="119">
        <f>2*30*min</f>
        <v>0.04166666666666667</v>
      </c>
      <c r="I17" s="138"/>
      <c r="J17" s="56"/>
      <c r="K17" s="66">
        <v>1</v>
      </c>
      <c r="L17" s="70" t="s">
        <v>50</v>
      </c>
      <c r="M17" s="67">
        <v>2</v>
      </c>
      <c r="N17" s="185">
        <f>17*2</f>
        <v>34</v>
      </c>
      <c r="O17" s="32"/>
      <c r="P17" s="28"/>
      <c r="Q17" s="29"/>
      <c r="R17" s="30"/>
      <c r="S17" s="28"/>
    </row>
    <row r="18" spans="1:19" ht="12">
      <c r="A18" s="145" t="s">
        <v>73</v>
      </c>
      <c r="B18" s="70" t="s">
        <v>131</v>
      </c>
      <c r="C18" s="37">
        <f>C17+G17</f>
        <v>0.5326388888888889</v>
      </c>
      <c r="D18" s="119">
        <f>C18+H18</f>
        <v>0.58125</v>
      </c>
      <c r="E18" s="37">
        <v>0.6041666666666666</v>
      </c>
      <c r="F18" s="17" t="s">
        <v>50</v>
      </c>
      <c r="G18" s="37">
        <f>H18-20*min</f>
        <v>0.034722222222222224</v>
      </c>
      <c r="H18" s="119">
        <f>2*35*min</f>
        <v>0.04861111111111111</v>
      </c>
      <c r="I18" s="138"/>
      <c r="J18" s="56"/>
      <c r="K18" s="66">
        <v>2</v>
      </c>
      <c r="L18" s="70" t="s">
        <v>50</v>
      </c>
      <c r="M18" s="67">
        <v>2</v>
      </c>
      <c r="N18" s="185">
        <f>17.5*2</f>
        <v>35</v>
      </c>
      <c r="P18" s="28"/>
      <c r="Q18" s="29"/>
      <c r="R18" s="30"/>
      <c r="S18" s="28"/>
    </row>
    <row r="19" spans="1:19" ht="12">
      <c r="A19" s="210" t="s">
        <v>15</v>
      </c>
      <c r="B19" s="211" t="s">
        <v>9</v>
      </c>
      <c r="C19" s="213">
        <f>C18+G18</f>
        <v>0.5673611111111111</v>
      </c>
      <c r="D19" s="255">
        <f>C19+H19</f>
        <v>0.5951388888888889</v>
      </c>
      <c r="E19" s="213">
        <v>0.625</v>
      </c>
      <c r="F19" s="214">
        <v>88</v>
      </c>
      <c r="G19" s="213">
        <f>30*min</f>
        <v>0.020833333333333336</v>
      </c>
      <c r="H19" s="212">
        <f>40*min</f>
        <v>0.02777777777777778</v>
      </c>
      <c r="I19" s="209"/>
      <c r="J19" s="56"/>
      <c r="K19" s="66">
        <v>88</v>
      </c>
      <c r="L19" s="67">
        <f>554-491+1</f>
        <v>64</v>
      </c>
      <c r="M19" s="67">
        <v>80</v>
      </c>
      <c r="N19" s="190">
        <f>27*7.5/5</f>
        <v>40.5</v>
      </c>
      <c r="P19" s="31"/>
      <c r="Q19" s="31"/>
      <c r="R19" s="31"/>
      <c r="S19" s="31"/>
    </row>
    <row r="20" spans="1:19" ht="19.5" customHeight="1">
      <c r="A20" s="123"/>
      <c r="B20" s="124"/>
      <c r="C20" s="166" t="s">
        <v>86</v>
      </c>
      <c r="D20" s="237"/>
      <c r="E20" s="237"/>
      <c r="F20" s="166"/>
      <c r="G20" s="237"/>
      <c r="H20" s="184"/>
      <c r="I20" s="126"/>
      <c r="J20" s="56"/>
      <c r="K20" s="66"/>
      <c r="L20" s="41"/>
      <c r="M20" s="67"/>
      <c r="N20" s="189"/>
      <c r="P20" s="28"/>
      <c r="Q20" s="29"/>
      <c r="R20" s="30"/>
      <c r="S20" s="28"/>
    </row>
    <row r="21" spans="1:19" ht="12">
      <c r="A21" s="145" t="s">
        <v>74</v>
      </c>
      <c r="B21" s="70" t="s">
        <v>207</v>
      </c>
      <c r="C21" s="256">
        <f>C19+G19</f>
        <v>0.5881944444444445</v>
      </c>
      <c r="D21" s="119">
        <f>C21+H21</f>
        <v>0.6229166666666667</v>
      </c>
      <c r="E21" s="37">
        <v>0.6666666666666666</v>
      </c>
      <c r="F21" s="17" t="s">
        <v>50</v>
      </c>
      <c r="G21" s="37">
        <v>0</v>
      </c>
      <c r="H21" s="119">
        <f>(40+10)*min</f>
        <v>0.034722222222222224</v>
      </c>
      <c r="I21" s="241" t="s">
        <v>217</v>
      </c>
      <c r="J21" s="56"/>
      <c r="K21" s="66">
        <v>2</v>
      </c>
      <c r="L21" s="70" t="s">
        <v>51</v>
      </c>
      <c r="M21" s="67">
        <v>7</v>
      </c>
      <c r="N21" s="190">
        <f>20.25*10/5</f>
        <v>40.5</v>
      </c>
      <c r="P21" s="28"/>
      <c r="Q21" s="29"/>
      <c r="R21" s="30"/>
      <c r="S21" s="28"/>
    </row>
    <row r="22" spans="1:14" ht="12">
      <c r="A22" s="145" t="s">
        <v>75</v>
      </c>
      <c r="B22" s="70" t="s">
        <v>208</v>
      </c>
      <c r="C22" s="37">
        <f>C21+G21</f>
        <v>0.5881944444444445</v>
      </c>
      <c r="D22" s="37">
        <f>C22+H22</f>
        <v>0.6263888888888889</v>
      </c>
      <c r="E22" s="37">
        <v>0.6666666666666666</v>
      </c>
      <c r="F22" s="17" t="s">
        <v>82</v>
      </c>
      <c r="G22" s="258">
        <f>10*min</f>
        <v>0.006944444444444445</v>
      </c>
      <c r="H22" s="37">
        <f>(45+10)*min</f>
        <v>0.03819444444444445</v>
      </c>
      <c r="I22" s="257" t="s">
        <v>218</v>
      </c>
      <c r="J22" s="56"/>
      <c r="K22" s="66">
        <v>4</v>
      </c>
      <c r="L22" s="70">
        <v>5</v>
      </c>
      <c r="M22" s="67">
        <v>3</v>
      </c>
      <c r="N22" s="187">
        <f>19*7.5/5</f>
        <v>28.5</v>
      </c>
    </row>
    <row r="23" spans="1:19" ht="12">
      <c r="A23" s="123"/>
      <c r="B23" s="124"/>
      <c r="C23" s="125"/>
      <c r="D23" s="125"/>
      <c r="E23" s="125"/>
      <c r="F23" s="139"/>
      <c r="G23" s="125"/>
      <c r="H23" s="124"/>
      <c r="I23" s="129"/>
      <c r="J23" s="56"/>
      <c r="K23" s="66"/>
      <c r="L23" s="67"/>
      <c r="M23" s="67"/>
      <c r="N23" s="186"/>
      <c r="P23" s="28"/>
      <c r="Q23" s="29"/>
      <c r="R23" s="30"/>
      <c r="S23" s="28"/>
    </row>
    <row r="24" spans="1:19" ht="12">
      <c r="A24" s="66" t="s">
        <v>12</v>
      </c>
      <c r="B24" s="67" t="s">
        <v>209</v>
      </c>
      <c r="C24" s="37">
        <f>C22+G22</f>
        <v>0.5951388888888889</v>
      </c>
      <c r="D24" s="119">
        <f>C24+H24</f>
        <v>0.6118055555555556</v>
      </c>
      <c r="E24" s="37">
        <v>0.6666666666666666</v>
      </c>
      <c r="F24" s="17">
        <v>98</v>
      </c>
      <c r="G24" s="37">
        <f>18*min</f>
        <v>0.0125</v>
      </c>
      <c r="H24" s="119">
        <f>24*min</f>
        <v>0.016666666666666666</v>
      </c>
      <c r="I24" s="138"/>
      <c r="J24" s="56"/>
      <c r="K24" s="66">
        <v>98</v>
      </c>
      <c r="L24" s="67">
        <f>619-561</f>
        <v>58</v>
      </c>
      <c r="M24" s="67">
        <v>76</v>
      </c>
      <c r="N24" s="190">
        <v>24.6</v>
      </c>
      <c r="O24">
        <f>74+24</f>
        <v>98</v>
      </c>
      <c r="P24" s="28"/>
      <c r="Q24" s="29"/>
      <c r="R24" s="30"/>
      <c r="S24" s="28"/>
    </row>
    <row r="25" spans="1:19" ht="12">
      <c r="A25" s="66" t="s">
        <v>13</v>
      </c>
      <c r="B25" s="67" t="s">
        <v>209</v>
      </c>
      <c r="C25" s="37">
        <f>C24+G24</f>
        <v>0.6076388888888888</v>
      </c>
      <c r="D25" s="37">
        <f>C25+H25</f>
        <v>0.6270833333333333</v>
      </c>
      <c r="E25" s="37">
        <v>0.6666666666666666</v>
      </c>
      <c r="F25" s="17">
        <v>87</v>
      </c>
      <c r="G25" s="37">
        <v>0</v>
      </c>
      <c r="H25" s="37">
        <f>28*min</f>
        <v>0.019444444444444445</v>
      </c>
      <c r="I25" s="54"/>
      <c r="J25" s="56"/>
      <c r="K25" s="66">
        <v>87</v>
      </c>
      <c r="L25" s="67">
        <f>660-621</f>
        <v>39</v>
      </c>
      <c r="M25" s="67">
        <v>64</v>
      </c>
      <c r="N25" s="190">
        <v>27.5</v>
      </c>
      <c r="O25">
        <f>41+46</f>
        <v>87</v>
      </c>
      <c r="P25" s="28"/>
      <c r="Q25" s="29"/>
      <c r="R25" s="30"/>
      <c r="S25" s="28"/>
    </row>
    <row r="26" spans="1:11" ht="12.75" thickBot="1">
      <c r="A26" s="1"/>
      <c r="B26" s="53" t="s">
        <v>58</v>
      </c>
      <c r="F26" s="130">
        <f>SUM(F9:F25)</f>
        <v>684</v>
      </c>
      <c r="G26" s="131">
        <f>SUM(G9:G25)</f>
        <v>0.22916666666666669</v>
      </c>
      <c r="J26" s="56"/>
      <c r="K26" s="116"/>
    </row>
    <row r="27" spans="1:11" ht="12.75" thickTop="1">
      <c r="A27" s="1"/>
      <c r="B27" s="53"/>
      <c r="F27" s="170"/>
      <c r="G27" s="33"/>
      <c r="J27" s="56"/>
      <c r="K27" s="116"/>
    </row>
    <row r="28" spans="1:14" ht="12">
      <c r="A28" s="240" t="s">
        <v>203</v>
      </c>
      <c r="B28" s="5"/>
      <c r="C28" s="5"/>
      <c r="F28" s="135"/>
      <c r="G28" s="56"/>
      <c r="H28" s="56"/>
      <c r="I28" s="56"/>
      <c r="J28" s="56"/>
      <c r="K28" s="116"/>
      <c r="N28" s="56"/>
    </row>
    <row r="29" spans="1:14" ht="12">
      <c r="A29" s="239" t="s">
        <v>205</v>
      </c>
      <c r="B29" s="5"/>
      <c r="F29" s="136"/>
      <c r="G29" s="56"/>
      <c r="H29" s="56"/>
      <c r="I29" s="56"/>
      <c r="J29" s="56"/>
      <c r="K29" s="116"/>
      <c r="N29" s="56"/>
    </row>
    <row r="30" spans="1:14" ht="12">
      <c r="A30" s="239" t="s">
        <v>210</v>
      </c>
      <c r="B30" s="5"/>
      <c r="F30" s="136"/>
      <c r="G30" s="56"/>
      <c r="H30" s="56"/>
      <c r="I30" s="56"/>
      <c r="J30" s="56"/>
      <c r="K30" s="116"/>
      <c r="N30" s="56"/>
    </row>
    <row r="31" spans="1:11" ht="12">
      <c r="A31" s="239" t="s">
        <v>206</v>
      </c>
      <c r="B31" s="5"/>
      <c r="C31" s="5"/>
      <c r="K31" s="116"/>
    </row>
    <row r="32" spans="3:11" ht="12">
      <c r="C32" s="5"/>
      <c r="K32" s="116"/>
    </row>
    <row r="33" spans="2:11" ht="12">
      <c r="B33" s="5"/>
      <c r="C33" s="5"/>
      <c r="D33" s="24"/>
      <c r="K33" s="116"/>
    </row>
    <row r="34" spans="2:11" ht="12">
      <c r="B34" s="5"/>
      <c r="C34" s="5"/>
      <c r="D34" s="25"/>
      <c r="G34" s="25"/>
      <c r="K34" s="116"/>
    </row>
    <row r="35" spans="2:11" ht="12">
      <c r="B35" s="5"/>
      <c r="C35" s="5"/>
      <c r="D35" s="25"/>
      <c r="G35" s="25"/>
      <c r="K35" s="116"/>
    </row>
    <row r="36" spans="4:11" ht="12">
      <c r="D36" s="25"/>
      <c r="G36" s="25"/>
      <c r="K36" s="116"/>
    </row>
    <row r="37" spans="11:12" ht="12">
      <c r="K37" s="116"/>
      <c r="L37" s="24"/>
    </row>
    <row r="38" ht="12">
      <c r="K38" s="116"/>
    </row>
  </sheetData>
  <sheetProtection/>
  <printOptions/>
  <pageMargins left="0.7" right="0.7" top="0.75" bottom="0.75" header="0.3" footer="0.3"/>
  <pageSetup horizontalDpi="1200" verticalDpi="1200" orientation="landscape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A3" sqref="A3:B4"/>
    </sheetView>
  </sheetViews>
  <sheetFormatPr defaultColWidth="11.421875" defaultRowHeight="12.75"/>
  <cols>
    <col min="3" max="5" width="19.7109375" style="0" customWidth="1"/>
  </cols>
  <sheetData>
    <row r="1" spans="1:5" ht="30" customHeight="1">
      <c r="A1" s="250" t="s">
        <v>1</v>
      </c>
      <c r="B1" s="250" t="s">
        <v>139</v>
      </c>
      <c r="C1" s="250" t="s">
        <v>140</v>
      </c>
      <c r="D1" s="250" t="s">
        <v>141</v>
      </c>
      <c r="E1" s="250" t="s">
        <v>142</v>
      </c>
    </row>
    <row r="2" spans="1:5" ht="12">
      <c r="A2" s="251"/>
      <c r="B2" s="251"/>
      <c r="C2" s="251"/>
      <c r="D2" s="251"/>
      <c r="E2" s="251"/>
    </row>
    <row r="3" spans="1:5" ht="43.5" customHeight="1">
      <c r="A3" s="246" t="s">
        <v>143</v>
      </c>
      <c r="B3" s="247"/>
      <c r="C3" s="250" t="s">
        <v>144</v>
      </c>
      <c r="D3" s="250" t="s">
        <v>145</v>
      </c>
      <c r="E3" s="250" t="s">
        <v>146</v>
      </c>
    </row>
    <row r="4" spans="1:5" ht="12">
      <c r="A4" s="248"/>
      <c r="B4" s="249"/>
      <c r="C4" s="251"/>
      <c r="D4" s="251"/>
      <c r="E4" s="251"/>
    </row>
    <row r="5" spans="1:5" ht="15.75" customHeight="1">
      <c r="A5" s="244" t="s">
        <v>147</v>
      </c>
      <c r="B5" s="244" t="s">
        <v>148</v>
      </c>
      <c r="C5" s="244" t="s">
        <v>149</v>
      </c>
      <c r="D5" s="244" t="s">
        <v>150</v>
      </c>
      <c r="E5" s="244" t="s">
        <v>151</v>
      </c>
    </row>
    <row r="6" spans="1:5" ht="12">
      <c r="A6" s="245"/>
      <c r="B6" s="245"/>
      <c r="C6" s="245"/>
      <c r="D6" s="245"/>
      <c r="E6" s="245"/>
    </row>
    <row r="7" spans="1:5" ht="15.75" customHeight="1">
      <c r="A7" s="244" t="s">
        <v>152</v>
      </c>
      <c r="B7" s="244" t="s">
        <v>148</v>
      </c>
      <c r="C7" s="244" t="s">
        <v>153</v>
      </c>
      <c r="D7" s="244" t="s">
        <v>151</v>
      </c>
      <c r="E7" s="244" t="s">
        <v>154</v>
      </c>
    </row>
    <row r="8" spans="1:5" ht="12">
      <c r="A8" s="245"/>
      <c r="B8" s="245"/>
      <c r="C8" s="245"/>
      <c r="D8" s="245"/>
      <c r="E8" s="245"/>
    </row>
    <row r="9" spans="1:5" ht="15.75" customHeight="1">
      <c r="A9" s="244" t="s">
        <v>155</v>
      </c>
      <c r="B9" s="244" t="s">
        <v>156</v>
      </c>
      <c r="C9" s="244" t="s">
        <v>149</v>
      </c>
      <c r="D9" s="244" t="s">
        <v>150</v>
      </c>
      <c r="E9" s="244" t="s">
        <v>151</v>
      </c>
    </row>
    <row r="10" spans="1:5" ht="12">
      <c r="A10" s="245"/>
      <c r="B10" s="245"/>
      <c r="C10" s="245"/>
      <c r="D10" s="245"/>
      <c r="E10" s="245"/>
    </row>
    <row r="11" spans="1:5" ht="15.75" customHeight="1">
      <c r="A11" s="244" t="s">
        <v>157</v>
      </c>
      <c r="B11" s="244" t="s">
        <v>156</v>
      </c>
      <c r="C11" s="244" t="s">
        <v>153</v>
      </c>
      <c r="D11" s="244" t="s">
        <v>151</v>
      </c>
      <c r="E11" s="244" t="s">
        <v>154</v>
      </c>
    </row>
    <row r="12" spans="1:5" ht="12">
      <c r="A12" s="245"/>
      <c r="B12" s="245"/>
      <c r="C12" s="245"/>
      <c r="D12" s="245"/>
      <c r="E12" s="245"/>
    </row>
    <row r="13" spans="1:5" ht="43.5" customHeight="1">
      <c r="A13" s="246" t="s">
        <v>158</v>
      </c>
      <c r="B13" s="247"/>
      <c r="C13" s="250" t="s">
        <v>159</v>
      </c>
      <c r="D13" s="250" t="s">
        <v>145</v>
      </c>
      <c r="E13" s="250" t="s">
        <v>146</v>
      </c>
    </row>
    <row r="14" spans="1:5" ht="12">
      <c r="A14" s="248"/>
      <c r="B14" s="249"/>
      <c r="C14" s="251"/>
      <c r="D14" s="251"/>
      <c r="E14" s="251"/>
    </row>
    <row r="15" spans="1:5" ht="15.75" customHeight="1">
      <c r="A15" s="244" t="s">
        <v>160</v>
      </c>
      <c r="B15" s="244" t="s">
        <v>161</v>
      </c>
      <c r="C15" s="244" t="s">
        <v>162</v>
      </c>
      <c r="D15" s="244" t="s">
        <v>163</v>
      </c>
      <c r="E15" s="244" t="s">
        <v>164</v>
      </c>
    </row>
    <row r="16" spans="1:5" ht="12">
      <c r="A16" s="245"/>
      <c r="B16" s="245"/>
      <c r="C16" s="245"/>
      <c r="D16" s="245"/>
      <c r="E16" s="245"/>
    </row>
    <row r="17" spans="1:5" ht="15.75" customHeight="1">
      <c r="A17" s="244" t="s">
        <v>165</v>
      </c>
      <c r="B17" s="244" t="s">
        <v>161</v>
      </c>
      <c r="C17" s="244" t="s">
        <v>162</v>
      </c>
      <c r="D17" s="244" t="s">
        <v>164</v>
      </c>
      <c r="E17" s="244" t="s">
        <v>166</v>
      </c>
    </row>
    <row r="18" spans="1:5" ht="12">
      <c r="A18" s="245"/>
      <c r="B18" s="245"/>
      <c r="C18" s="245"/>
      <c r="D18" s="245"/>
      <c r="E18" s="245"/>
    </row>
    <row r="19" spans="1:5" ht="15.75" customHeight="1">
      <c r="A19" s="244" t="s">
        <v>167</v>
      </c>
      <c r="B19" s="244" t="s">
        <v>161</v>
      </c>
      <c r="C19" s="244" t="s">
        <v>168</v>
      </c>
      <c r="D19" s="244" t="s">
        <v>169</v>
      </c>
      <c r="E19" s="244" t="s">
        <v>170</v>
      </c>
    </row>
    <row r="20" spans="1:5" ht="12">
      <c r="A20" s="245"/>
      <c r="B20" s="245"/>
      <c r="C20" s="245"/>
      <c r="D20" s="245"/>
      <c r="E20" s="245"/>
    </row>
    <row r="21" spans="1:5" ht="15.75" customHeight="1">
      <c r="A21" s="244" t="s">
        <v>171</v>
      </c>
      <c r="B21" s="244" t="s">
        <v>161</v>
      </c>
      <c r="C21" s="244" t="s">
        <v>168</v>
      </c>
      <c r="D21" s="244" t="s">
        <v>169</v>
      </c>
      <c r="E21" s="244" t="s">
        <v>170</v>
      </c>
    </row>
    <row r="22" spans="1:5" ht="12">
      <c r="A22" s="245"/>
      <c r="B22" s="245"/>
      <c r="C22" s="245"/>
      <c r="D22" s="245"/>
      <c r="E22" s="245"/>
    </row>
    <row r="23" spans="1:5" ht="43.5" customHeight="1">
      <c r="A23" s="246" t="s">
        <v>172</v>
      </c>
      <c r="B23" s="247"/>
      <c r="C23" s="250" t="s">
        <v>173</v>
      </c>
      <c r="D23" s="250" t="s">
        <v>145</v>
      </c>
      <c r="E23" s="250" t="s">
        <v>146</v>
      </c>
    </row>
    <row r="24" spans="1:5" ht="12">
      <c r="A24" s="248"/>
      <c r="B24" s="249"/>
      <c r="C24" s="251"/>
      <c r="D24" s="251"/>
      <c r="E24" s="251"/>
    </row>
    <row r="25" spans="1:5" ht="15.75" customHeight="1">
      <c r="A25" s="244" t="s">
        <v>174</v>
      </c>
      <c r="B25" s="244" t="s">
        <v>175</v>
      </c>
      <c r="C25" s="244" t="s">
        <v>176</v>
      </c>
      <c r="D25" s="244" t="s">
        <v>163</v>
      </c>
      <c r="E25" s="244" t="s">
        <v>163</v>
      </c>
    </row>
    <row r="26" spans="1:5" ht="12">
      <c r="A26" s="245"/>
      <c r="B26" s="245"/>
      <c r="C26" s="245"/>
      <c r="D26" s="245"/>
      <c r="E26" s="245"/>
    </row>
    <row r="27" spans="1:5" ht="15.75" customHeight="1">
      <c r="A27" s="244" t="s">
        <v>177</v>
      </c>
      <c r="B27" s="244" t="s">
        <v>178</v>
      </c>
      <c r="C27" s="244" t="s">
        <v>176</v>
      </c>
      <c r="D27" s="244" t="s">
        <v>163</v>
      </c>
      <c r="E27" s="244" t="s">
        <v>163</v>
      </c>
    </row>
    <row r="28" spans="1:5" ht="12">
      <c r="A28" s="245"/>
      <c r="B28" s="245"/>
      <c r="C28" s="245"/>
      <c r="D28" s="245"/>
      <c r="E28" s="245"/>
    </row>
    <row r="29" spans="1:5" ht="15.75" customHeight="1">
      <c r="A29" s="244" t="s">
        <v>179</v>
      </c>
      <c r="B29" s="244" t="s">
        <v>180</v>
      </c>
      <c r="C29" s="244" t="s">
        <v>176</v>
      </c>
      <c r="D29" s="244" t="s">
        <v>181</v>
      </c>
      <c r="E29" s="244" t="s">
        <v>182</v>
      </c>
    </row>
    <row r="30" spans="1:5" ht="12">
      <c r="A30" s="245"/>
      <c r="B30" s="245"/>
      <c r="C30" s="245"/>
      <c r="D30" s="245"/>
      <c r="E30" s="245"/>
    </row>
    <row r="31" spans="1:5" ht="15.75" customHeight="1">
      <c r="A31" s="244" t="s">
        <v>183</v>
      </c>
      <c r="B31" s="244">
        <v>2000</v>
      </c>
      <c r="C31" s="244" t="s">
        <v>176</v>
      </c>
      <c r="D31" s="244" t="s">
        <v>182</v>
      </c>
      <c r="E31" s="244" t="s">
        <v>184</v>
      </c>
    </row>
    <row r="32" spans="1:5" ht="12">
      <c r="A32" s="245"/>
      <c r="B32" s="245"/>
      <c r="C32" s="245"/>
      <c r="D32" s="245"/>
      <c r="E32" s="245"/>
    </row>
    <row r="33" spans="1:5" ht="15.75" customHeight="1">
      <c r="A33" s="244" t="s">
        <v>185</v>
      </c>
      <c r="B33" s="244" t="s">
        <v>186</v>
      </c>
      <c r="C33" s="244" t="s">
        <v>176</v>
      </c>
      <c r="D33" s="244" t="s">
        <v>181</v>
      </c>
      <c r="E33" s="244" t="s">
        <v>184</v>
      </c>
    </row>
    <row r="34" spans="1:5" ht="12">
      <c r="A34" s="245"/>
      <c r="B34" s="245"/>
      <c r="C34" s="245"/>
      <c r="D34" s="245"/>
      <c r="E34" s="245"/>
    </row>
    <row r="35" spans="1:5" ht="15.75" customHeight="1">
      <c r="A35" s="244" t="s">
        <v>187</v>
      </c>
      <c r="B35" s="244" t="s">
        <v>186</v>
      </c>
      <c r="C35" s="244" t="s">
        <v>176</v>
      </c>
      <c r="D35" s="244" t="s">
        <v>182</v>
      </c>
      <c r="E35" s="244" t="s">
        <v>188</v>
      </c>
    </row>
    <row r="36" spans="1:5" ht="12">
      <c r="A36" s="245"/>
      <c r="B36" s="245"/>
      <c r="C36" s="245"/>
      <c r="D36" s="245"/>
      <c r="E36" s="245"/>
    </row>
    <row r="37" spans="1:5" ht="15.75" customHeight="1">
      <c r="A37" s="244" t="s">
        <v>189</v>
      </c>
      <c r="B37" s="244" t="s">
        <v>190</v>
      </c>
      <c r="C37" s="244" t="s">
        <v>191</v>
      </c>
      <c r="D37" s="244" t="s">
        <v>184</v>
      </c>
      <c r="E37" s="244" t="s">
        <v>188</v>
      </c>
    </row>
    <row r="38" spans="1:5" ht="12">
      <c r="A38" s="245"/>
      <c r="B38" s="245"/>
      <c r="C38" s="245"/>
      <c r="D38" s="245"/>
      <c r="E38" s="245"/>
    </row>
    <row r="39" spans="1:5" ht="15.75" customHeight="1">
      <c r="A39" s="244" t="s">
        <v>192</v>
      </c>
      <c r="B39" s="244" t="s">
        <v>190</v>
      </c>
      <c r="C39" s="244" t="s">
        <v>191</v>
      </c>
      <c r="D39" s="244" t="s">
        <v>188</v>
      </c>
      <c r="E39" s="244" t="s">
        <v>193</v>
      </c>
    </row>
    <row r="40" spans="1:5" ht="12">
      <c r="A40" s="245"/>
      <c r="B40" s="245"/>
      <c r="C40" s="245"/>
      <c r="D40" s="245"/>
      <c r="E40" s="245"/>
    </row>
  </sheetData>
  <sheetProtection/>
  <mergeCells count="97">
    <mergeCell ref="A1:A2"/>
    <mergeCell ref="B1:B2"/>
    <mergeCell ref="C1:C2"/>
    <mergeCell ref="D1:D2"/>
    <mergeCell ref="E1:E2"/>
    <mergeCell ref="A3:B4"/>
    <mergeCell ref="C3:C4"/>
    <mergeCell ref="D3:D4"/>
    <mergeCell ref="E3:E4"/>
    <mergeCell ref="A5:A6"/>
    <mergeCell ref="B5:B6"/>
    <mergeCell ref="C5:C6"/>
    <mergeCell ref="D5:D6"/>
    <mergeCell ref="E5:E6"/>
    <mergeCell ref="A7:A8"/>
    <mergeCell ref="B7:B8"/>
    <mergeCell ref="C7:C8"/>
    <mergeCell ref="D7:D8"/>
    <mergeCell ref="E7:E8"/>
    <mergeCell ref="A9:A10"/>
    <mergeCell ref="B9:B10"/>
    <mergeCell ref="C9:C10"/>
    <mergeCell ref="D9:D10"/>
    <mergeCell ref="E9:E10"/>
    <mergeCell ref="A11:A12"/>
    <mergeCell ref="B11:B12"/>
    <mergeCell ref="C11:C12"/>
    <mergeCell ref="D11:D12"/>
    <mergeCell ref="E11:E12"/>
    <mergeCell ref="A13:B14"/>
    <mergeCell ref="C13:C14"/>
    <mergeCell ref="D13:D14"/>
    <mergeCell ref="E13:E14"/>
    <mergeCell ref="A15:A16"/>
    <mergeCell ref="B15:B16"/>
    <mergeCell ref="C15:C16"/>
    <mergeCell ref="D15:D16"/>
    <mergeCell ref="E15:E16"/>
    <mergeCell ref="A17:A18"/>
    <mergeCell ref="B17:B18"/>
    <mergeCell ref="C17:C18"/>
    <mergeCell ref="D17:D18"/>
    <mergeCell ref="E17:E18"/>
    <mergeCell ref="A19:A20"/>
    <mergeCell ref="B19:B20"/>
    <mergeCell ref="C19:C20"/>
    <mergeCell ref="D19:D20"/>
    <mergeCell ref="E19:E20"/>
    <mergeCell ref="A21:A22"/>
    <mergeCell ref="B21:B22"/>
    <mergeCell ref="C21:C22"/>
    <mergeCell ref="D21:D22"/>
    <mergeCell ref="E21:E22"/>
    <mergeCell ref="A23:B24"/>
    <mergeCell ref="C23:C24"/>
    <mergeCell ref="D23:D24"/>
    <mergeCell ref="E23:E24"/>
    <mergeCell ref="A25:A26"/>
    <mergeCell ref="B25:B26"/>
    <mergeCell ref="C25:C26"/>
    <mergeCell ref="D25:D26"/>
    <mergeCell ref="E25:E26"/>
    <mergeCell ref="A27:A28"/>
    <mergeCell ref="B27:B28"/>
    <mergeCell ref="C27:C28"/>
    <mergeCell ref="D27:D28"/>
    <mergeCell ref="E27:E28"/>
    <mergeCell ref="A29:A30"/>
    <mergeCell ref="B29:B30"/>
    <mergeCell ref="C29:C30"/>
    <mergeCell ref="D29:D30"/>
    <mergeCell ref="E29:E30"/>
    <mergeCell ref="A31:A32"/>
    <mergeCell ref="B31:B32"/>
    <mergeCell ref="C31:C32"/>
    <mergeCell ref="D31:D32"/>
    <mergeCell ref="E31:E32"/>
    <mergeCell ref="A33:A34"/>
    <mergeCell ref="B33:B34"/>
    <mergeCell ref="C33:C34"/>
    <mergeCell ref="D33:D34"/>
    <mergeCell ref="E33:E34"/>
    <mergeCell ref="A35:A36"/>
    <mergeCell ref="B35:B36"/>
    <mergeCell ref="C35:C36"/>
    <mergeCell ref="D35:D36"/>
    <mergeCell ref="E35:E36"/>
    <mergeCell ref="A37:A38"/>
    <mergeCell ref="B37:B38"/>
    <mergeCell ref="C37:C38"/>
    <mergeCell ref="D37:D38"/>
    <mergeCell ref="E37:E38"/>
    <mergeCell ref="A39:A40"/>
    <mergeCell ref="B39:B40"/>
    <mergeCell ref="C39:C40"/>
    <mergeCell ref="D39:D40"/>
    <mergeCell ref="E39:E40"/>
  </mergeCells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"/>
  <sheetViews>
    <sheetView showGridLines="0" zoomScale="205" zoomScaleNormal="205" workbookViewId="0" topLeftCell="A1">
      <selection activeCell="B4" sqref="B4"/>
    </sheetView>
  </sheetViews>
  <sheetFormatPr defaultColWidth="8.8515625" defaultRowHeight="12.75"/>
  <cols>
    <col min="1" max="1" width="12.140625" style="0" customWidth="1"/>
    <col min="2" max="2" width="7.421875" style="0" customWidth="1"/>
    <col min="3" max="3" width="8.140625" style="0" customWidth="1"/>
    <col min="4" max="4" width="8.421875" style="0" customWidth="1"/>
    <col min="5" max="5" width="7.8515625" style="27" customWidth="1"/>
    <col min="6" max="10" width="8.28125" style="0" customWidth="1"/>
    <col min="11" max="11" width="32.28125" style="1" customWidth="1"/>
    <col min="12" max="14" width="8.8515625" style="0" customWidth="1"/>
    <col min="15" max="15" width="8.28125" style="0" customWidth="1"/>
  </cols>
  <sheetData>
    <row r="1" spans="2:8" ht="15">
      <c r="B1" s="35"/>
      <c r="C1" s="35"/>
      <c r="D1" s="35"/>
      <c r="F1" s="35"/>
      <c r="G1" s="35"/>
      <c r="H1" s="35"/>
    </row>
    <row r="2" spans="1:11" ht="12">
      <c r="A2" s="34" t="s">
        <v>138</v>
      </c>
      <c r="B2" s="207">
        <v>0.375</v>
      </c>
      <c r="C2" s="21"/>
      <c r="D2" s="3"/>
      <c r="E2" s="4"/>
      <c r="F2" s="21"/>
      <c r="G2" s="3"/>
      <c r="H2" s="21"/>
      <c r="I2" s="33"/>
      <c r="K2" s="33"/>
    </row>
    <row r="3" spans="1:9" ht="12">
      <c r="A3" s="34" t="s">
        <v>28</v>
      </c>
      <c r="B3" s="207">
        <v>0.0006944444444444445</v>
      </c>
      <c r="C3" s="56"/>
      <c r="F3" s="136"/>
      <c r="G3" s="56"/>
      <c r="H3" s="56"/>
      <c r="I3" s="56"/>
    </row>
    <row r="4" spans="1:2" ht="12">
      <c r="A4" s="34" t="s">
        <v>29</v>
      </c>
      <c r="B4" s="207">
        <v>0.041666666666666664</v>
      </c>
    </row>
    <row r="5" spans="1:2" ht="12">
      <c r="A5" s="34"/>
      <c r="B5" s="38"/>
    </row>
  </sheetData>
  <sheetProtection/>
  <printOptions/>
  <pageMargins left="0.25" right="0.25" top="0.75" bottom="0.75" header="0.3" footer="0.3"/>
  <pageSetup horizontalDpi="1200" verticalDpi="12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2"/>
  <sheetViews>
    <sheetView workbookViewId="0" topLeftCell="A42">
      <selection activeCell="B91" sqref="B91"/>
    </sheetView>
  </sheetViews>
  <sheetFormatPr defaultColWidth="11.57421875" defaultRowHeight="12.75"/>
  <cols>
    <col min="1" max="1" width="23.140625" style="0" customWidth="1"/>
    <col min="2" max="16384" width="11.421875" style="0" customWidth="1"/>
  </cols>
  <sheetData>
    <row r="1" ht="12">
      <c r="A1" t="s">
        <v>59</v>
      </c>
    </row>
    <row r="3" spans="1:4" ht="12">
      <c r="A3" t="s">
        <v>87</v>
      </c>
      <c r="C3" t="s">
        <v>88</v>
      </c>
      <c r="D3" t="s">
        <v>89</v>
      </c>
    </row>
    <row r="4" spans="1:2" ht="12">
      <c r="A4" t="s">
        <v>1</v>
      </c>
      <c r="B4" t="s">
        <v>90</v>
      </c>
    </row>
    <row r="5" spans="1:2" ht="12">
      <c r="A5" t="s">
        <v>91</v>
      </c>
      <c r="B5">
        <v>35</v>
      </c>
    </row>
    <row r="6" spans="1:2" ht="12">
      <c r="A6" t="s">
        <v>92</v>
      </c>
      <c r="B6">
        <v>21</v>
      </c>
    </row>
    <row r="7" spans="1:2" ht="12">
      <c r="A7" t="s">
        <v>93</v>
      </c>
      <c r="B7">
        <v>78</v>
      </c>
    </row>
    <row r="8" spans="1:2" ht="12">
      <c r="A8" t="s">
        <v>94</v>
      </c>
      <c r="B8">
        <v>39</v>
      </c>
    </row>
    <row r="9" spans="1:2" ht="12">
      <c r="A9" t="s">
        <v>95</v>
      </c>
      <c r="B9">
        <v>38</v>
      </c>
    </row>
    <row r="10" spans="1:2" ht="12">
      <c r="A10" t="s">
        <v>96</v>
      </c>
      <c r="B10">
        <v>32</v>
      </c>
    </row>
    <row r="11" spans="1:2" ht="12">
      <c r="A11" t="s">
        <v>97</v>
      </c>
      <c r="B11">
        <v>37</v>
      </c>
    </row>
    <row r="12" spans="1:2" ht="12">
      <c r="A12" t="s">
        <v>98</v>
      </c>
      <c r="B12">
        <v>1</v>
      </c>
    </row>
    <row r="13" spans="1:2" ht="12">
      <c r="A13" t="s">
        <v>99</v>
      </c>
      <c r="B13">
        <v>2</v>
      </c>
    </row>
    <row r="14" spans="1:2" ht="12">
      <c r="A14" t="s">
        <v>100</v>
      </c>
      <c r="B14">
        <v>24</v>
      </c>
    </row>
    <row r="15" spans="1:2" ht="12">
      <c r="A15" t="s">
        <v>101</v>
      </c>
      <c r="B15">
        <v>31</v>
      </c>
    </row>
    <row r="16" spans="1:2" ht="12">
      <c r="A16" t="s">
        <v>102</v>
      </c>
      <c r="B16">
        <v>42</v>
      </c>
    </row>
    <row r="17" spans="1:2" ht="12">
      <c r="A17" t="s">
        <v>103</v>
      </c>
      <c r="B17">
        <v>47</v>
      </c>
    </row>
    <row r="18" spans="1:2" ht="12">
      <c r="A18" t="s">
        <v>104</v>
      </c>
      <c r="B18">
        <v>33</v>
      </c>
    </row>
    <row r="19" spans="1:2" ht="12">
      <c r="A19" t="s">
        <v>105</v>
      </c>
      <c r="B19">
        <v>17</v>
      </c>
    </row>
    <row r="20" spans="1:2" ht="12">
      <c r="A20" t="s">
        <v>106</v>
      </c>
      <c r="B20">
        <v>24</v>
      </c>
    </row>
    <row r="21" spans="1:2" ht="12">
      <c r="A21" t="s">
        <v>107</v>
      </c>
      <c r="B21">
        <v>25</v>
      </c>
    </row>
    <row r="22" spans="1:2" ht="12">
      <c r="A22" t="s">
        <v>108</v>
      </c>
      <c r="B22">
        <v>2</v>
      </c>
    </row>
    <row r="23" spans="1:2" ht="12">
      <c r="A23" t="s">
        <v>109</v>
      </c>
      <c r="B23">
        <v>2</v>
      </c>
    </row>
    <row r="24" spans="1:2" ht="12">
      <c r="A24" t="s">
        <v>110</v>
      </c>
      <c r="B24">
        <v>530</v>
      </c>
    </row>
    <row r="27" ht="12">
      <c r="A27" t="s">
        <v>60</v>
      </c>
    </row>
    <row r="29" spans="1:4" ht="12">
      <c r="A29" t="s">
        <v>87</v>
      </c>
      <c r="C29" t="s">
        <v>111</v>
      </c>
      <c r="D29" t="s">
        <v>89</v>
      </c>
    </row>
    <row r="30" spans="1:2" ht="12">
      <c r="A30" t="s">
        <v>1</v>
      </c>
      <c r="B30" t="s">
        <v>90</v>
      </c>
    </row>
    <row r="31" spans="1:2" ht="12">
      <c r="A31" t="s">
        <v>91</v>
      </c>
      <c r="B31">
        <v>74</v>
      </c>
    </row>
    <row r="32" spans="1:2" ht="12">
      <c r="A32" t="s">
        <v>92</v>
      </c>
      <c r="B32">
        <v>24</v>
      </c>
    </row>
    <row r="33" spans="1:2" ht="12">
      <c r="A33" t="s">
        <v>112</v>
      </c>
      <c r="B33">
        <v>86</v>
      </c>
    </row>
    <row r="34" spans="1:2" ht="12">
      <c r="A34" t="s">
        <v>94</v>
      </c>
      <c r="B34">
        <v>44</v>
      </c>
    </row>
    <row r="35" spans="1:2" ht="12">
      <c r="A35" t="s">
        <v>95</v>
      </c>
      <c r="B35">
        <v>38</v>
      </c>
    </row>
    <row r="36" spans="1:2" ht="12">
      <c r="A36" t="s">
        <v>96</v>
      </c>
      <c r="B36">
        <v>50</v>
      </c>
    </row>
    <row r="37" spans="1:2" ht="12">
      <c r="A37" t="s">
        <v>97</v>
      </c>
      <c r="B37">
        <v>65</v>
      </c>
    </row>
    <row r="38" spans="1:2" ht="12">
      <c r="A38" t="s">
        <v>113</v>
      </c>
      <c r="B38">
        <v>0</v>
      </c>
    </row>
    <row r="39" spans="1:2" ht="12">
      <c r="A39" t="s">
        <v>114</v>
      </c>
      <c r="B39">
        <v>4</v>
      </c>
    </row>
    <row r="40" spans="1:2" ht="12">
      <c r="A40" t="s">
        <v>115</v>
      </c>
      <c r="B40">
        <v>2</v>
      </c>
    </row>
    <row r="41" spans="1:2" ht="12">
      <c r="A41" t="s">
        <v>116</v>
      </c>
      <c r="B41">
        <v>1</v>
      </c>
    </row>
    <row r="42" spans="1:2" ht="12">
      <c r="A42" t="s">
        <v>98</v>
      </c>
      <c r="B42">
        <v>1</v>
      </c>
    </row>
    <row r="43" spans="1:2" ht="12">
      <c r="A43" t="s">
        <v>99</v>
      </c>
      <c r="B43">
        <v>2</v>
      </c>
    </row>
    <row r="44" spans="1:2" ht="12">
      <c r="A44" t="s">
        <v>100</v>
      </c>
      <c r="B44">
        <v>45</v>
      </c>
    </row>
    <row r="45" spans="1:2" ht="12">
      <c r="A45" t="s">
        <v>101</v>
      </c>
      <c r="B45">
        <v>51</v>
      </c>
    </row>
    <row r="46" spans="1:2" ht="12">
      <c r="A46" t="s">
        <v>102</v>
      </c>
      <c r="B46">
        <v>42</v>
      </c>
    </row>
    <row r="47" spans="1:2" ht="12">
      <c r="A47" t="s">
        <v>103</v>
      </c>
      <c r="B47">
        <v>48</v>
      </c>
    </row>
    <row r="48" spans="1:2" ht="12">
      <c r="A48" t="s">
        <v>104</v>
      </c>
      <c r="B48">
        <v>34</v>
      </c>
    </row>
    <row r="49" spans="1:2" ht="12">
      <c r="A49" t="s">
        <v>105</v>
      </c>
      <c r="B49">
        <v>17</v>
      </c>
    </row>
    <row r="50" spans="1:2" ht="12">
      <c r="A50" t="s">
        <v>106</v>
      </c>
      <c r="B50">
        <v>38</v>
      </c>
    </row>
    <row r="51" spans="1:2" ht="12">
      <c r="A51" t="s">
        <v>107</v>
      </c>
      <c r="B51">
        <v>37</v>
      </c>
    </row>
    <row r="52" spans="1:2" ht="12">
      <c r="A52" t="s">
        <v>117</v>
      </c>
      <c r="B52">
        <v>0</v>
      </c>
    </row>
    <row r="53" spans="1:2" ht="12">
      <c r="A53" t="s">
        <v>118</v>
      </c>
      <c r="B53">
        <v>0</v>
      </c>
    </row>
    <row r="54" spans="1:2" ht="12">
      <c r="A54" t="s">
        <v>119</v>
      </c>
      <c r="B54">
        <v>1</v>
      </c>
    </row>
    <row r="55" spans="1:2" ht="12">
      <c r="A55" t="s">
        <v>120</v>
      </c>
      <c r="B55">
        <v>0</v>
      </c>
    </row>
    <row r="56" spans="1:2" ht="12">
      <c r="A56" t="s">
        <v>108</v>
      </c>
      <c r="B56">
        <v>2</v>
      </c>
    </row>
    <row r="57" spans="1:2" ht="12">
      <c r="A57" t="s">
        <v>109</v>
      </c>
      <c r="B57">
        <v>4</v>
      </c>
    </row>
    <row r="58" spans="1:2" ht="12">
      <c r="A58" t="s">
        <v>110</v>
      </c>
      <c r="B58">
        <v>710</v>
      </c>
    </row>
    <row r="61" ht="12">
      <c r="A61" t="s">
        <v>61</v>
      </c>
    </row>
    <row r="63" spans="1:4" ht="12">
      <c r="A63" t="s">
        <v>87</v>
      </c>
      <c r="C63" t="s">
        <v>121</v>
      </c>
      <c r="D63" t="s">
        <v>89</v>
      </c>
    </row>
    <row r="64" spans="1:2" ht="12">
      <c r="A64" t="s">
        <v>1</v>
      </c>
      <c r="B64" t="s">
        <v>90</v>
      </c>
    </row>
    <row r="65" spans="1:2" ht="12">
      <c r="A65" t="s">
        <v>91</v>
      </c>
      <c r="B65">
        <v>74</v>
      </c>
    </row>
    <row r="66" spans="1:2" ht="12">
      <c r="A66" t="s">
        <v>92</v>
      </c>
      <c r="B66">
        <v>24</v>
      </c>
    </row>
    <row r="67" spans="1:2" ht="12">
      <c r="A67" t="s">
        <v>112</v>
      </c>
      <c r="B67">
        <v>84</v>
      </c>
    </row>
    <row r="68" spans="1:2" ht="12">
      <c r="A68" t="s">
        <v>94</v>
      </c>
      <c r="B68">
        <v>43</v>
      </c>
    </row>
    <row r="69" spans="1:2" ht="12">
      <c r="A69" t="s">
        <v>95</v>
      </c>
      <c r="B69">
        <v>35</v>
      </c>
    </row>
    <row r="70" spans="1:2" ht="12">
      <c r="A70" t="s">
        <v>96</v>
      </c>
      <c r="B70">
        <v>51</v>
      </c>
    </row>
    <row r="71" spans="1:2" ht="12">
      <c r="A71" t="s">
        <v>97</v>
      </c>
      <c r="B71">
        <v>64</v>
      </c>
    </row>
    <row r="72" spans="1:2" ht="12">
      <c r="A72" t="s">
        <v>113</v>
      </c>
      <c r="B72">
        <v>0</v>
      </c>
    </row>
    <row r="73" spans="1:2" ht="12">
      <c r="A73" t="s">
        <v>114</v>
      </c>
      <c r="B73">
        <v>4</v>
      </c>
    </row>
    <row r="74" spans="1:2" ht="12">
      <c r="A74" t="s">
        <v>115</v>
      </c>
      <c r="B74">
        <v>1</v>
      </c>
    </row>
    <row r="75" spans="1:2" ht="12">
      <c r="A75" t="s">
        <v>116</v>
      </c>
      <c r="B75">
        <v>1</v>
      </c>
    </row>
    <row r="76" spans="1:2" ht="12">
      <c r="A76" t="s">
        <v>98</v>
      </c>
      <c r="B76">
        <v>1</v>
      </c>
    </row>
    <row r="77" spans="1:2" ht="12">
      <c r="A77" t="s">
        <v>99</v>
      </c>
      <c r="B77">
        <v>2</v>
      </c>
    </row>
    <row r="78" spans="1:2" ht="12">
      <c r="A78" t="s">
        <v>100</v>
      </c>
      <c r="B78">
        <v>41</v>
      </c>
    </row>
    <row r="79" spans="1:2" ht="12">
      <c r="A79" t="s">
        <v>101</v>
      </c>
      <c r="B79">
        <v>46</v>
      </c>
    </row>
    <row r="80" spans="1:2" ht="12">
      <c r="A80" t="s">
        <v>102</v>
      </c>
      <c r="B80">
        <v>43</v>
      </c>
    </row>
    <row r="81" spans="1:2" ht="12">
      <c r="A81" t="s">
        <v>103</v>
      </c>
      <c r="B81">
        <v>45</v>
      </c>
    </row>
    <row r="82" spans="1:2" ht="12">
      <c r="A82" t="s">
        <v>104</v>
      </c>
      <c r="B82">
        <v>36</v>
      </c>
    </row>
    <row r="83" spans="1:2" ht="12">
      <c r="A83" t="s">
        <v>105</v>
      </c>
      <c r="B83">
        <v>18</v>
      </c>
    </row>
    <row r="84" spans="1:2" ht="12">
      <c r="A84" t="s">
        <v>106</v>
      </c>
      <c r="B84">
        <v>36</v>
      </c>
    </row>
    <row r="85" spans="1:2" ht="12">
      <c r="A85" t="s">
        <v>107</v>
      </c>
      <c r="B85">
        <v>36</v>
      </c>
    </row>
    <row r="86" spans="1:2" ht="12">
      <c r="A86" t="s">
        <v>117</v>
      </c>
      <c r="B86">
        <v>0</v>
      </c>
    </row>
    <row r="87" spans="1:2" ht="12">
      <c r="A87" t="s">
        <v>118</v>
      </c>
      <c r="B87">
        <v>1</v>
      </c>
    </row>
    <row r="88" spans="1:2" ht="12">
      <c r="A88" t="s">
        <v>119</v>
      </c>
      <c r="B88">
        <v>1</v>
      </c>
    </row>
    <row r="89" spans="1:2" ht="12">
      <c r="A89" t="s">
        <v>120</v>
      </c>
      <c r="B89">
        <v>0</v>
      </c>
    </row>
    <row r="90" spans="1:2" ht="12">
      <c r="A90" t="s">
        <v>108</v>
      </c>
      <c r="B90">
        <v>2</v>
      </c>
    </row>
    <row r="91" spans="1:2" ht="12">
      <c r="A91" t="s">
        <v>109</v>
      </c>
      <c r="B91">
        <v>4</v>
      </c>
    </row>
    <row r="92" spans="1:2" ht="12">
      <c r="A92" t="s">
        <v>110</v>
      </c>
      <c r="B92">
        <v>693</v>
      </c>
    </row>
  </sheetData>
  <sheetProtection/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8"/>
  <sheetViews>
    <sheetView showGridLines="0" zoomScale="160" zoomScaleNormal="160" workbookViewId="0" topLeftCell="A2">
      <selection activeCell="D27" sqref="D27"/>
    </sheetView>
  </sheetViews>
  <sheetFormatPr defaultColWidth="8.8515625" defaultRowHeight="12.75"/>
  <cols>
    <col min="1" max="1" width="12.140625" style="0" customWidth="1"/>
    <col min="2" max="2" width="9.140625" style="0" customWidth="1"/>
    <col min="3" max="3" width="9.28125" style="0" customWidth="1"/>
    <col min="4" max="4" width="8.421875" style="0" customWidth="1"/>
    <col min="5" max="5" width="9.00390625" style="0" customWidth="1"/>
    <col min="6" max="6" width="10.00390625" style="0" customWidth="1"/>
    <col min="7" max="7" width="10.140625" style="0" customWidth="1"/>
    <col min="8" max="8" width="10.28125" style="0" customWidth="1"/>
    <col min="9" max="9" width="33.7109375" style="0" customWidth="1"/>
    <col min="10" max="10" width="25.7109375" style="0" customWidth="1"/>
    <col min="11" max="11" width="7.7109375" style="38" customWidth="1"/>
    <col min="12" max="13" width="8.8515625" style="0" customWidth="1"/>
    <col min="14" max="14" width="10.28125" style="0" customWidth="1"/>
  </cols>
  <sheetData>
    <row r="1" spans="2:14" ht="15">
      <c r="B1" s="40"/>
      <c r="C1" s="40"/>
      <c r="F1" s="40"/>
      <c r="G1" s="35" t="s">
        <v>126</v>
      </c>
      <c r="H1" s="40"/>
      <c r="N1" s="40"/>
    </row>
    <row r="2" spans="1:14" ht="12">
      <c r="A2" s="56"/>
      <c r="B2" s="57"/>
      <c r="C2" s="57"/>
      <c r="D2" s="56"/>
      <c r="F2" s="57"/>
      <c r="G2" s="42" t="s">
        <v>52</v>
      </c>
      <c r="H2" s="57"/>
      <c r="I2" s="56"/>
      <c r="J2" s="56"/>
      <c r="K2" s="116"/>
      <c r="N2" s="57"/>
    </row>
    <row r="3" spans="1:14" ht="12">
      <c r="A3" s="58"/>
      <c r="B3" s="58"/>
      <c r="C3" s="58"/>
      <c r="D3" s="56"/>
      <c r="F3" s="61"/>
      <c r="G3" s="59" t="s">
        <v>0</v>
      </c>
      <c r="H3" s="58"/>
      <c r="I3" s="58"/>
      <c r="J3" s="58"/>
      <c r="K3" s="116"/>
      <c r="N3" s="58"/>
    </row>
    <row r="4" spans="1:14" ht="12">
      <c r="A4" s="59" t="s">
        <v>30</v>
      </c>
      <c r="B4" s="43">
        <f>start</f>
        <v>0.375</v>
      </c>
      <c r="C4" s="56"/>
      <c r="D4" s="58"/>
      <c r="E4" s="58"/>
      <c r="F4" s="60"/>
      <c r="G4" s="61"/>
      <c r="H4" s="60"/>
      <c r="I4" s="56"/>
      <c r="J4" s="56"/>
      <c r="K4" s="116"/>
      <c r="N4" s="60"/>
    </row>
    <row r="5" spans="1:14" ht="12">
      <c r="A5" s="60" t="s">
        <v>7</v>
      </c>
      <c r="B5" s="60"/>
      <c r="C5" s="60"/>
      <c r="D5" s="63"/>
      <c r="E5" s="62"/>
      <c r="F5" s="60"/>
      <c r="G5" s="63"/>
      <c r="H5" s="60"/>
      <c r="I5" s="56"/>
      <c r="J5" s="56"/>
      <c r="K5" s="116"/>
      <c r="N5" s="60"/>
    </row>
    <row r="6" spans="1:14" ht="39.75">
      <c r="A6" s="64" t="s">
        <v>1</v>
      </c>
      <c r="B6" s="64" t="s">
        <v>6</v>
      </c>
      <c r="C6" s="46" t="s">
        <v>39</v>
      </c>
      <c r="D6" s="48" t="s">
        <v>45</v>
      </c>
      <c r="E6" s="65" t="s">
        <v>37</v>
      </c>
      <c r="F6" s="65" t="s">
        <v>32</v>
      </c>
      <c r="G6" s="47" t="s">
        <v>44</v>
      </c>
      <c r="H6" s="48" t="s">
        <v>33</v>
      </c>
      <c r="I6" s="64" t="s">
        <v>46</v>
      </c>
      <c r="J6" s="56"/>
      <c r="K6" s="168">
        <v>2015</v>
      </c>
      <c r="L6" s="167">
        <v>2014</v>
      </c>
      <c r="M6" s="167">
        <v>2014</v>
      </c>
      <c r="N6" s="48" t="s">
        <v>134</v>
      </c>
    </row>
    <row r="7" spans="1:14" ht="12">
      <c r="A7" s="66"/>
      <c r="B7" s="67" t="s">
        <v>41</v>
      </c>
      <c r="C7" s="68" t="s">
        <v>40</v>
      </c>
      <c r="D7" s="68" t="s">
        <v>40</v>
      </c>
      <c r="E7" s="68" t="s">
        <v>40</v>
      </c>
      <c r="F7" s="67"/>
      <c r="G7" s="55" t="s">
        <v>42</v>
      </c>
      <c r="H7" s="55" t="s">
        <v>42</v>
      </c>
      <c r="I7" s="142"/>
      <c r="J7" s="56"/>
      <c r="K7" s="169" t="s">
        <v>53</v>
      </c>
      <c r="L7" s="47" t="s">
        <v>54</v>
      </c>
      <c r="M7" s="47" t="s">
        <v>53</v>
      </c>
      <c r="N7" s="55"/>
    </row>
    <row r="8" spans="1:14" ht="19.5" customHeight="1">
      <c r="A8" s="123"/>
      <c r="B8" s="124"/>
      <c r="C8" s="163" t="s">
        <v>84</v>
      </c>
      <c r="D8" s="184"/>
      <c r="E8" s="164"/>
      <c r="F8" s="163"/>
      <c r="G8" s="164"/>
      <c r="H8" s="184"/>
      <c r="I8" s="126"/>
      <c r="J8" s="56"/>
      <c r="K8" s="66"/>
      <c r="L8" s="47"/>
      <c r="M8" s="47"/>
      <c r="N8" s="184"/>
    </row>
    <row r="9" spans="1:15" ht="12">
      <c r="A9" s="117" t="s">
        <v>62</v>
      </c>
      <c r="B9" s="118" t="s">
        <v>24</v>
      </c>
      <c r="C9" s="119">
        <f>start+5*min</f>
        <v>0.3784722222222222</v>
      </c>
      <c r="D9" s="119">
        <f>C9+H9</f>
        <v>0.4409722222222222</v>
      </c>
      <c r="E9" s="119">
        <v>0.4791666666666667</v>
      </c>
      <c r="F9" s="154">
        <v>121</v>
      </c>
      <c r="G9" s="119">
        <f>H9-15*min</f>
        <v>0.05208333333333333</v>
      </c>
      <c r="H9" s="119">
        <f>90*min</f>
        <v>0.0625</v>
      </c>
      <c r="I9" s="128"/>
      <c r="J9" s="56"/>
      <c r="K9" s="66">
        <v>121</v>
      </c>
      <c r="L9" s="67">
        <v>125</v>
      </c>
      <c r="M9" s="67">
        <v>124</v>
      </c>
      <c r="N9" s="190">
        <f>70*20/15</f>
        <v>93.33333333333333</v>
      </c>
      <c r="O9">
        <f>51+64+4+2</f>
        <v>121</v>
      </c>
    </row>
    <row r="10" spans="1:14" ht="12">
      <c r="A10" s="123"/>
      <c r="B10" s="124"/>
      <c r="C10" s="125"/>
      <c r="D10" s="125"/>
      <c r="E10" s="125"/>
      <c r="F10" s="139"/>
      <c r="G10" s="125"/>
      <c r="H10" s="124"/>
      <c r="I10" s="129"/>
      <c r="J10" s="56"/>
      <c r="K10" s="66" t="s">
        <v>122</v>
      </c>
      <c r="L10" s="67" t="s">
        <v>123</v>
      </c>
      <c r="M10" s="67" t="s">
        <v>122</v>
      </c>
      <c r="N10" s="186"/>
    </row>
    <row r="11" spans="1:14" ht="12">
      <c r="A11" s="120" t="s">
        <v>25</v>
      </c>
      <c r="B11" s="121" t="s">
        <v>8</v>
      </c>
      <c r="C11" s="122">
        <f>D9-15*min</f>
        <v>0.4305555555555555</v>
      </c>
      <c r="D11" s="119">
        <f>C11+H11</f>
        <v>0.4888888888888889</v>
      </c>
      <c r="E11" s="122">
        <v>0.5208333333333334</v>
      </c>
      <c r="F11" s="92">
        <v>74</v>
      </c>
      <c r="G11" s="122">
        <f>H11-20*min</f>
        <v>0.044444444444444446</v>
      </c>
      <c r="H11" s="119">
        <f>84*min</f>
        <v>0.058333333333333334</v>
      </c>
      <c r="I11" s="128"/>
      <c r="J11" s="56"/>
      <c r="K11" s="66">
        <v>74</v>
      </c>
      <c r="L11" s="67">
        <v>67</v>
      </c>
      <c r="M11" s="67">
        <v>76</v>
      </c>
      <c r="N11" s="190">
        <f>56*15/10</f>
        <v>84</v>
      </c>
    </row>
    <row r="12" spans="1:19" ht="12">
      <c r="A12" s="123"/>
      <c r="B12" s="124"/>
      <c r="C12" s="125"/>
      <c r="D12" s="125"/>
      <c r="E12" s="125"/>
      <c r="F12" s="139"/>
      <c r="G12" s="125"/>
      <c r="H12" s="124"/>
      <c r="I12" s="129"/>
      <c r="J12" s="56"/>
      <c r="K12" s="66"/>
      <c r="L12" s="69"/>
      <c r="M12" s="67"/>
      <c r="N12" s="186"/>
      <c r="P12" s="28"/>
      <c r="Q12" s="29"/>
      <c r="R12" s="30"/>
      <c r="S12" s="28"/>
    </row>
    <row r="13" spans="1:19" ht="12">
      <c r="A13" s="66" t="s">
        <v>11</v>
      </c>
      <c r="B13" s="67" t="s">
        <v>8</v>
      </c>
      <c r="C13" s="37">
        <f>C11+G11</f>
        <v>0.475</v>
      </c>
      <c r="D13" s="119">
        <f>C13+H13</f>
        <v>0.5187499999999999</v>
      </c>
      <c r="E13" s="37">
        <v>0.5625</v>
      </c>
      <c r="F13" s="17">
        <v>78</v>
      </c>
      <c r="G13" s="37">
        <f>H13-15*min</f>
        <v>0.03333333333333334</v>
      </c>
      <c r="H13" s="119">
        <f>63*min</f>
        <v>0.043750000000000004</v>
      </c>
      <c r="I13" s="128"/>
      <c r="J13" s="56"/>
      <c r="K13" s="66">
        <v>78</v>
      </c>
      <c r="L13" s="67">
        <f>350-261+1</f>
        <v>90</v>
      </c>
      <c r="M13" s="67">
        <v>83</v>
      </c>
      <c r="N13" s="185">
        <f>42*15/10</f>
        <v>63</v>
      </c>
      <c r="O13">
        <f>43+35</f>
        <v>78</v>
      </c>
      <c r="P13" s="28"/>
      <c r="Q13" s="29"/>
      <c r="R13" s="30"/>
      <c r="S13" s="28"/>
    </row>
    <row r="14" spans="1:19" ht="12">
      <c r="A14" s="66" t="s">
        <v>14</v>
      </c>
      <c r="B14" s="67" t="s">
        <v>3</v>
      </c>
      <c r="C14" s="37">
        <f>C13+G13</f>
        <v>0.5083333333333333</v>
      </c>
      <c r="D14" s="119">
        <f>C14+H14</f>
        <v>0.5395833333333333</v>
      </c>
      <c r="E14" s="37">
        <v>0.6041666666666666</v>
      </c>
      <c r="F14" s="17">
        <v>84</v>
      </c>
      <c r="G14" s="37">
        <f>H14-15*min</f>
        <v>0.020833333333333332</v>
      </c>
      <c r="H14" s="119">
        <f>45*min</f>
        <v>0.03125</v>
      </c>
      <c r="I14" s="128"/>
      <c r="J14" s="56"/>
      <c r="K14" s="66">
        <v>84</v>
      </c>
      <c r="L14" s="67">
        <f>413-351+1</f>
        <v>63</v>
      </c>
      <c r="M14" s="67">
        <v>83</v>
      </c>
      <c r="N14" s="185">
        <f>22.6*10/5</f>
        <v>45.2</v>
      </c>
      <c r="O14">
        <v>80</v>
      </c>
      <c r="P14" s="28"/>
      <c r="Q14" s="29"/>
      <c r="R14" s="30"/>
      <c r="S14" s="28"/>
    </row>
    <row r="15" spans="1:19" ht="12">
      <c r="A15" s="66" t="s">
        <v>10</v>
      </c>
      <c r="B15" s="67" t="s">
        <v>3</v>
      </c>
      <c r="C15" s="37">
        <f>C14+G14</f>
        <v>0.5291666666666667</v>
      </c>
      <c r="D15" s="37">
        <f>C15+H15</f>
        <v>0.5625</v>
      </c>
      <c r="E15" s="37">
        <v>0.6041666666666666</v>
      </c>
      <c r="F15" s="17">
        <v>54</v>
      </c>
      <c r="G15" s="37">
        <f>5*min</f>
        <v>0.0034722222222222225</v>
      </c>
      <c r="H15" s="37">
        <f>48*min</f>
        <v>0.03333333333333333</v>
      </c>
      <c r="I15" s="138"/>
      <c r="J15" s="56"/>
      <c r="K15" s="66">
        <v>54</v>
      </c>
      <c r="L15" s="67">
        <f>481-421+1</f>
        <v>61</v>
      </c>
      <c r="M15" s="67">
        <v>54</v>
      </c>
      <c r="N15" s="187">
        <f>24*10/5</f>
        <v>48</v>
      </c>
      <c r="O15" s="32"/>
      <c r="P15" s="28"/>
      <c r="Q15" s="29"/>
      <c r="R15" s="30"/>
      <c r="S15" s="28"/>
    </row>
    <row r="16" spans="1:19" ht="19.5" customHeight="1">
      <c r="A16" s="127"/>
      <c r="B16" s="38"/>
      <c r="C16" s="166" t="s">
        <v>85</v>
      </c>
      <c r="D16" s="165"/>
      <c r="E16" s="165"/>
      <c r="F16" s="166"/>
      <c r="G16" s="165"/>
      <c r="H16" s="165"/>
      <c r="I16" s="137"/>
      <c r="J16" s="56"/>
      <c r="K16" s="66"/>
      <c r="L16" s="15"/>
      <c r="M16" s="15"/>
      <c r="N16" s="188"/>
      <c r="O16" s="32"/>
      <c r="P16" s="28"/>
      <c r="Q16" s="29"/>
      <c r="R16" s="30"/>
      <c r="S16" s="28"/>
    </row>
    <row r="17" spans="1:19" ht="12">
      <c r="A17" s="145" t="s">
        <v>72</v>
      </c>
      <c r="B17" s="70" t="s">
        <v>131</v>
      </c>
      <c r="C17" s="37">
        <f>C15+G15</f>
        <v>0.5326388888888889</v>
      </c>
      <c r="D17" s="119">
        <f>C17+H17</f>
        <v>0.5743055555555555</v>
      </c>
      <c r="E17" s="37">
        <v>0.6041666666666666</v>
      </c>
      <c r="F17" s="17" t="s">
        <v>81</v>
      </c>
      <c r="G17" s="37">
        <f>0*min</f>
        <v>0</v>
      </c>
      <c r="H17" s="119">
        <f>2*30*min</f>
        <v>0.04166666666666667</v>
      </c>
      <c r="I17" s="138"/>
      <c r="J17" s="56"/>
      <c r="K17" s="66">
        <v>1</v>
      </c>
      <c r="L17" s="70" t="s">
        <v>50</v>
      </c>
      <c r="M17" s="67">
        <v>2</v>
      </c>
      <c r="N17" s="185">
        <f>17*2</f>
        <v>34</v>
      </c>
      <c r="O17" s="32"/>
      <c r="P17" s="28"/>
      <c r="Q17" s="29"/>
      <c r="R17" s="30"/>
      <c r="S17" s="28"/>
    </row>
    <row r="18" spans="1:19" ht="12">
      <c r="A18" s="145" t="s">
        <v>73</v>
      </c>
      <c r="B18" s="70" t="s">
        <v>131</v>
      </c>
      <c r="C18" s="37">
        <f>C17+G17</f>
        <v>0.5326388888888889</v>
      </c>
      <c r="D18" s="119">
        <f>C18+H18</f>
        <v>0.58125</v>
      </c>
      <c r="E18" s="37">
        <v>0.6041666666666666</v>
      </c>
      <c r="F18" s="17" t="s">
        <v>50</v>
      </c>
      <c r="G18" s="37">
        <f>H18-20*min</f>
        <v>0.034722222222222224</v>
      </c>
      <c r="H18" s="119">
        <f>2*35*min</f>
        <v>0.04861111111111111</v>
      </c>
      <c r="I18" s="138"/>
      <c r="J18" s="56"/>
      <c r="K18" s="66">
        <v>2</v>
      </c>
      <c r="L18" s="70" t="s">
        <v>50</v>
      </c>
      <c r="M18" s="67">
        <v>2</v>
      </c>
      <c r="N18" s="185">
        <f>17.5*2</f>
        <v>35</v>
      </c>
      <c r="P18" s="28"/>
      <c r="Q18" s="29"/>
      <c r="R18" s="30"/>
      <c r="S18" s="28"/>
    </row>
    <row r="19" spans="1:19" ht="12">
      <c r="A19" s="210" t="s">
        <v>15</v>
      </c>
      <c r="B19" s="211" t="s">
        <v>9</v>
      </c>
      <c r="C19" s="213">
        <f>C18+G18</f>
        <v>0.5673611111111111</v>
      </c>
      <c r="D19" s="212">
        <f>C19+H19</f>
        <v>0.5951388888888889</v>
      </c>
      <c r="E19" s="213">
        <v>0.625</v>
      </c>
      <c r="F19" s="214">
        <v>88</v>
      </c>
      <c r="G19" s="213">
        <f>35*min</f>
        <v>0.024305555555555556</v>
      </c>
      <c r="H19" s="212">
        <f>40*min</f>
        <v>0.02777777777777778</v>
      </c>
      <c r="I19" s="209"/>
      <c r="J19" s="56"/>
      <c r="K19" s="66">
        <v>88</v>
      </c>
      <c r="L19" s="67">
        <f>554-491+1</f>
        <v>64</v>
      </c>
      <c r="M19" s="67">
        <v>80</v>
      </c>
      <c r="N19" s="190">
        <f>27*7.5/5</f>
        <v>40.5</v>
      </c>
      <c r="P19" s="31"/>
      <c r="Q19" s="31"/>
      <c r="R19" s="31"/>
      <c r="S19" s="31"/>
    </row>
    <row r="20" spans="1:19" ht="19.5" customHeight="1">
      <c r="A20" s="123"/>
      <c r="B20" s="124"/>
      <c r="C20" s="166" t="s">
        <v>86</v>
      </c>
      <c r="D20" s="164"/>
      <c r="E20" s="164"/>
      <c r="F20" s="166"/>
      <c r="G20" s="164"/>
      <c r="H20" s="184"/>
      <c r="I20" s="126"/>
      <c r="J20" s="56"/>
      <c r="K20" s="66"/>
      <c r="L20" s="41"/>
      <c r="M20" s="67"/>
      <c r="N20" s="189"/>
      <c r="P20" s="28"/>
      <c r="Q20" s="29"/>
      <c r="R20" s="30"/>
      <c r="S20" s="28"/>
    </row>
    <row r="21" spans="1:19" ht="12">
      <c r="A21" s="66" t="s">
        <v>12</v>
      </c>
      <c r="B21" s="67" t="s">
        <v>4</v>
      </c>
      <c r="C21" s="37">
        <f>C19+G19</f>
        <v>0.5916666666666667</v>
      </c>
      <c r="D21" s="119">
        <f>C21+H21</f>
        <v>0.6083333333333334</v>
      </c>
      <c r="E21" s="37">
        <v>0.6666666666666666</v>
      </c>
      <c r="F21" s="17">
        <v>98</v>
      </c>
      <c r="G21" s="37">
        <f>15*min</f>
        <v>0.010416666666666668</v>
      </c>
      <c r="H21" s="119">
        <f>24*min</f>
        <v>0.016666666666666666</v>
      </c>
      <c r="I21" s="138" t="s">
        <v>57</v>
      </c>
      <c r="J21" s="56"/>
      <c r="K21" s="66">
        <v>98</v>
      </c>
      <c r="L21" s="67">
        <f>619-561</f>
        <v>58</v>
      </c>
      <c r="M21" s="67">
        <v>76</v>
      </c>
      <c r="N21" s="190">
        <v>24.6</v>
      </c>
      <c r="O21">
        <f>74+24</f>
        <v>98</v>
      </c>
      <c r="P21" s="28"/>
      <c r="Q21" s="29"/>
      <c r="R21" s="30"/>
      <c r="S21" s="28"/>
    </row>
    <row r="22" spans="1:19" ht="12">
      <c r="A22" s="66" t="s">
        <v>13</v>
      </c>
      <c r="B22" s="67" t="s">
        <v>4</v>
      </c>
      <c r="C22" s="37">
        <f>C21+G21</f>
        <v>0.6020833333333333</v>
      </c>
      <c r="D22" s="119">
        <f>C22+H22</f>
        <v>0.6215277777777778</v>
      </c>
      <c r="E22" s="37">
        <v>0.6666666666666666</v>
      </c>
      <c r="F22" s="17">
        <v>87</v>
      </c>
      <c r="G22" s="37">
        <f>15*min</f>
        <v>0.010416666666666668</v>
      </c>
      <c r="H22" s="119">
        <f>28*min</f>
        <v>0.019444444444444445</v>
      </c>
      <c r="I22" s="54"/>
      <c r="J22" s="56"/>
      <c r="K22" s="66">
        <v>87</v>
      </c>
      <c r="L22" s="67">
        <f>660-621</f>
        <v>39</v>
      </c>
      <c r="M22" s="67">
        <v>64</v>
      </c>
      <c r="N22" s="190">
        <v>27.5</v>
      </c>
      <c r="O22">
        <f>41+46</f>
        <v>87</v>
      </c>
      <c r="P22" s="28"/>
      <c r="Q22" s="29"/>
      <c r="R22" s="30"/>
      <c r="S22" s="28"/>
    </row>
    <row r="23" spans="1:19" ht="12">
      <c r="A23" s="123"/>
      <c r="B23" s="124"/>
      <c r="C23" s="125"/>
      <c r="D23" s="125"/>
      <c r="E23" s="125"/>
      <c r="F23" s="139"/>
      <c r="G23" s="125"/>
      <c r="H23" s="124"/>
      <c r="I23" s="129"/>
      <c r="J23" s="56"/>
      <c r="K23" s="66"/>
      <c r="L23" s="67"/>
      <c r="M23" s="67"/>
      <c r="N23" s="186"/>
      <c r="P23" s="28"/>
      <c r="Q23" s="29"/>
      <c r="R23" s="30"/>
      <c r="S23" s="28"/>
    </row>
    <row r="24" spans="1:19" ht="12">
      <c r="A24" s="145" t="s">
        <v>74</v>
      </c>
      <c r="B24" s="70" t="s">
        <v>35</v>
      </c>
      <c r="C24" s="37">
        <f>C22+G22</f>
        <v>0.6124999999999999</v>
      </c>
      <c r="D24" s="119">
        <f>C24+H24</f>
        <v>0.6402777777777777</v>
      </c>
      <c r="E24" s="37">
        <v>0.6666666666666666</v>
      </c>
      <c r="F24" s="17" t="s">
        <v>50</v>
      </c>
      <c r="G24" s="37">
        <f>5*min</f>
        <v>0.0034722222222222225</v>
      </c>
      <c r="H24" s="119">
        <f>40*min</f>
        <v>0.02777777777777778</v>
      </c>
      <c r="I24" s="67"/>
      <c r="J24" s="56"/>
      <c r="K24" s="66">
        <v>2</v>
      </c>
      <c r="L24" s="70" t="s">
        <v>51</v>
      </c>
      <c r="M24" s="67">
        <v>7</v>
      </c>
      <c r="N24" s="190">
        <f>20.25*10/5</f>
        <v>40.5</v>
      </c>
      <c r="P24" s="28"/>
      <c r="Q24" s="29"/>
      <c r="R24" s="30"/>
      <c r="S24" s="28"/>
    </row>
    <row r="25" spans="1:14" ht="12">
      <c r="A25" s="145" t="s">
        <v>75</v>
      </c>
      <c r="B25" s="70" t="s">
        <v>36</v>
      </c>
      <c r="C25" s="37">
        <f>C24+G24</f>
        <v>0.6159722222222221</v>
      </c>
      <c r="D25" s="37">
        <f>C25+H25</f>
        <v>0.6472222222222221</v>
      </c>
      <c r="E25" s="37">
        <v>0.6666666666666666</v>
      </c>
      <c r="F25" s="17" t="s">
        <v>82</v>
      </c>
      <c r="G25" s="37">
        <f>5*min</f>
        <v>0.0034722222222222225</v>
      </c>
      <c r="H25" s="37">
        <f>45*min</f>
        <v>0.03125</v>
      </c>
      <c r="I25" s="67"/>
      <c r="J25" s="56"/>
      <c r="K25" s="66">
        <v>4</v>
      </c>
      <c r="L25" s="70">
        <v>5</v>
      </c>
      <c r="M25" s="67">
        <v>3</v>
      </c>
      <c r="N25" s="187">
        <f>19*7.5/5</f>
        <v>28.5</v>
      </c>
    </row>
    <row r="26" spans="1:11" ht="12.75" thickBot="1">
      <c r="A26" s="1"/>
      <c r="B26" s="53" t="s">
        <v>58</v>
      </c>
      <c r="F26" s="130">
        <f>SUM(F9:F25)</f>
        <v>684</v>
      </c>
      <c r="G26" s="131">
        <f>SUM(G9:G25)</f>
        <v>0.24097222222222217</v>
      </c>
      <c r="J26" s="56"/>
      <c r="K26" s="116"/>
    </row>
    <row r="27" spans="1:11" ht="12.75" thickTop="1">
      <c r="A27" s="1"/>
      <c r="B27" s="53"/>
      <c r="F27" s="170"/>
      <c r="G27" s="33"/>
      <c r="J27" s="56"/>
      <c r="K27" s="116"/>
    </row>
    <row r="28" spans="1:14" ht="12">
      <c r="A28" s="240" t="s">
        <v>203</v>
      </c>
      <c r="B28" s="5"/>
      <c r="C28" s="5"/>
      <c r="F28" s="135"/>
      <c r="G28" s="56"/>
      <c r="H28" s="56"/>
      <c r="I28" s="56"/>
      <c r="J28" s="56"/>
      <c r="K28" s="116"/>
      <c r="N28" s="56"/>
    </row>
    <row r="29" spans="1:14" ht="12">
      <c r="A29" s="239" t="s">
        <v>205</v>
      </c>
      <c r="B29" s="5"/>
      <c r="F29" s="136"/>
      <c r="G29" s="56"/>
      <c r="H29" s="56"/>
      <c r="I29" s="56"/>
      <c r="J29" s="56"/>
      <c r="K29" s="116"/>
      <c r="N29" s="56"/>
    </row>
    <row r="30" spans="1:14" ht="12">
      <c r="A30" s="239" t="s">
        <v>204</v>
      </c>
      <c r="B30" s="5"/>
      <c r="F30" s="136"/>
      <c r="G30" s="56"/>
      <c r="H30" s="56"/>
      <c r="I30" s="56"/>
      <c r="J30" s="56"/>
      <c r="K30" s="116"/>
      <c r="N30" s="56"/>
    </row>
    <row r="31" spans="1:11" ht="12">
      <c r="A31" s="239" t="s">
        <v>206</v>
      </c>
      <c r="B31" s="5"/>
      <c r="C31" s="5"/>
      <c r="K31" s="116"/>
    </row>
    <row r="32" spans="3:11" ht="12">
      <c r="C32" s="5"/>
      <c r="K32" s="116"/>
    </row>
    <row r="33" spans="2:11" ht="12">
      <c r="B33" s="5"/>
      <c r="C33" s="5"/>
      <c r="D33" s="24"/>
      <c r="K33" s="116"/>
    </row>
    <row r="34" spans="2:11" ht="12">
      <c r="B34" s="5"/>
      <c r="C34" s="5"/>
      <c r="D34" s="25"/>
      <c r="G34" s="25"/>
      <c r="K34" s="116"/>
    </row>
    <row r="35" spans="2:11" ht="12">
      <c r="B35" s="5"/>
      <c r="C35" s="5"/>
      <c r="D35" s="25"/>
      <c r="G35" s="25"/>
      <c r="K35" s="116"/>
    </row>
    <row r="36" spans="4:11" ht="12">
      <c r="D36" s="25"/>
      <c r="G36" s="25"/>
      <c r="K36" s="116"/>
    </row>
    <row r="37" spans="11:12" ht="12">
      <c r="K37" s="116"/>
      <c r="L37" s="24"/>
    </row>
    <row r="38" ht="12">
      <c r="K38" s="116"/>
    </row>
  </sheetData>
  <sheetProtection/>
  <printOptions/>
  <pageMargins left="0.7" right="0.7" top="0.75" bottom="0.75" header="0.3" footer="0.3"/>
  <pageSetup horizontalDpi="1200" verticalDpi="1200" orientation="landscape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Jeff Pouw</cp:lastModifiedBy>
  <cp:lastPrinted>2016-01-11T01:59:36Z</cp:lastPrinted>
  <dcterms:created xsi:type="dcterms:W3CDTF">1996-10-14T23:33:28Z</dcterms:created>
  <dcterms:modified xsi:type="dcterms:W3CDTF">2016-01-21T22:14:02Z</dcterms:modified>
  <cp:category/>
  <cp:version/>
  <cp:contentType/>
  <cp:contentStatus/>
</cp:coreProperties>
</file>